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d-allen\Desktop\"/>
    </mc:Choice>
  </mc:AlternateContent>
  <bookViews>
    <workbookView xWindow="0" yWindow="0" windowWidth="25200" windowHeight="10575"/>
  </bookViews>
  <sheets>
    <sheet name="kons_funk" sheetId="16" r:id="rId1"/>
    <sheet name="pb_spb_funk" sheetId="13" r:id="rId2"/>
    <sheet name="kons_adm" sheetId="17" r:id="rId3"/>
    <sheet name="pb_spb_adm" sheetId="18" r:id="rId4"/>
    <sheet name="pb_spb_adm (2)" sheetId="22" state="hidden" r:id="rId5"/>
    <sheet name="kons_ekon" sheetId="19" r:id="rId6"/>
    <sheet name="pb_spb_ekon" sheetId="20" r:id="rId7"/>
  </sheets>
  <externalReferences>
    <externalReference r:id="rId8"/>
    <externalReference r:id="rId9"/>
  </externalReferences>
  <definedNames>
    <definedName name="_xlnm._FilterDatabase" localSheetId="3" hidden="1">pb_spb_adm!$A$1:$O$156</definedName>
    <definedName name="_xlnm._FilterDatabase" localSheetId="4" hidden="1">'pb_spb_adm (2)'!$B$1:$B$143</definedName>
    <definedName name="_xlnm._FilterDatabase" localSheetId="6" hidden="1">pb_spb_ekon!$A$1:$O$68</definedName>
    <definedName name="_xlnm.Print_Titles" localSheetId="4">'pb_spb_adm (2)'!$3:$3</definedName>
    <definedName name="T13l6">[1]JPI_pasakumi_kopa!#REF!</definedName>
  </definedNames>
  <calcPr calcId="162913"/>
</workbook>
</file>

<file path=xl/calcChain.xml><?xml version="1.0" encoding="utf-8"?>
<calcChain xmlns="http://schemas.openxmlformats.org/spreadsheetml/2006/main">
  <c r="F37" i="20" l="1"/>
  <c r="G37" i="20"/>
  <c r="N37" i="20" l="1"/>
  <c r="O37" i="20"/>
  <c r="K37" i="20"/>
  <c r="L37" i="20"/>
  <c r="H37" i="20"/>
  <c r="I37" i="20"/>
  <c r="I38" i="20"/>
  <c r="I31" i="20"/>
  <c r="O136" i="18"/>
  <c r="L136" i="18"/>
  <c r="H136" i="18"/>
  <c r="E21" i="13"/>
  <c r="J5" i="16"/>
  <c r="M5" i="16"/>
  <c r="H59" i="20" l="1"/>
  <c r="H60" i="20"/>
  <c r="H61" i="20"/>
  <c r="H124" i="18" l="1"/>
  <c r="H114" i="18"/>
  <c r="H107" i="18"/>
  <c r="H73" i="18"/>
  <c r="H55" i="18"/>
  <c r="H39" i="18"/>
  <c r="H36" i="18"/>
  <c r="M65" i="20" l="1"/>
  <c r="J65" i="20"/>
  <c r="L61" i="20" s="1"/>
  <c r="E65" i="20"/>
  <c r="G62" i="20" s="1"/>
  <c r="B65" i="20"/>
  <c r="D63" i="20" s="1"/>
  <c r="O63" i="20"/>
  <c r="N63" i="20"/>
  <c r="L63" i="20"/>
  <c r="K63" i="20"/>
  <c r="I63" i="20"/>
  <c r="H63" i="20"/>
  <c r="F63" i="20"/>
  <c r="O62" i="20"/>
  <c r="N62" i="20"/>
  <c r="L62" i="20"/>
  <c r="K62" i="20"/>
  <c r="I62" i="20"/>
  <c r="F62" i="20"/>
  <c r="B62" i="20"/>
  <c r="H62" i="20" s="1"/>
  <c r="O61" i="20"/>
  <c r="N61" i="20"/>
  <c r="K61" i="20"/>
  <c r="F61" i="20"/>
  <c r="O60" i="20"/>
  <c r="N60" i="20"/>
  <c r="L60" i="20"/>
  <c r="K60" i="20"/>
  <c r="F60" i="20"/>
  <c r="O59" i="20"/>
  <c r="N59" i="20"/>
  <c r="L59" i="20"/>
  <c r="K59" i="20"/>
  <c r="F59" i="20"/>
  <c r="O58" i="20"/>
  <c r="N58" i="20"/>
  <c r="L58" i="20"/>
  <c r="K58" i="20"/>
  <c r="I58" i="20"/>
  <c r="H58" i="20"/>
  <c r="F58" i="20"/>
  <c r="O57" i="20"/>
  <c r="N57" i="20"/>
  <c r="L57" i="20"/>
  <c r="K57" i="20"/>
  <c r="I57" i="20"/>
  <c r="H57" i="20"/>
  <c r="F57" i="20"/>
  <c r="O56" i="20"/>
  <c r="N56" i="20"/>
  <c r="L56" i="20"/>
  <c r="K56" i="20"/>
  <c r="F56" i="20"/>
  <c r="B56" i="20"/>
  <c r="H56" i="20" s="1"/>
  <c r="O55" i="20"/>
  <c r="N55" i="20"/>
  <c r="L55" i="20"/>
  <c r="K55" i="20"/>
  <c r="F55" i="20"/>
  <c r="O54" i="20"/>
  <c r="N54" i="20"/>
  <c r="L54" i="20"/>
  <c r="K54" i="20"/>
  <c r="I54" i="20"/>
  <c r="H54" i="20"/>
  <c r="G54" i="20"/>
  <c r="F54" i="20"/>
  <c r="O53" i="20"/>
  <c r="N53" i="20"/>
  <c r="L53" i="20"/>
  <c r="K53" i="20"/>
  <c r="F53" i="20"/>
  <c r="B53" i="20"/>
  <c r="H53" i="20" s="1"/>
  <c r="O52" i="20"/>
  <c r="N52" i="20"/>
  <c r="L52" i="20"/>
  <c r="K52" i="20"/>
  <c r="I52" i="20"/>
  <c r="H52" i="20"/>
  <c r="F52" i="20"/>
  <c r="O51" i="20"/>
  <c r="N51" i="20"/>
  <c r="K51" i="20"/>
  <c r="I51" i="20"/>
  <c r="H51" i="20"/>
  <c r="F51" i="20"/>
  <c r="O50" i="20"/>
  <c r="N50" i="20"/>
  <c r="L50" i="20"/>
  <c r="K50" i="20"/>
  <c r="F50" i="20"/>
  <c r="B50" i="20"/>
  <c r="I50" i="20" s="1"/>
  <c r="O49" i="20"/>
  <c r="N49" i="20"/>
  <c r="L49" i="20"/>
  <c r="K49" i="20"/>
  <c r="H49" i="20"/>
  <c r="F49" i="20"/>
  <c r="O48" i="20"/>
  <c r="N48" i="20"/>
  <c r="L48" i="20"/>
  <c r="K48" i="20"/>
  <c r="I48" i="20"/>
  <c r="H48" i="20"/>
  <c r="F48" i="20"/>
  <c r="O47" i="20"/>
  <c r="N47" i="20"/>
  <c r="L47" i="20"/>
  <c r="K47" i="20"/>
  <c r="I47" i="20"/>
  <c r="H47" i="20"/>
  <c r="F47" i="20"/>
  <c r="O46" i="20"/>
  <c r="N46" i="20"/>
  <c r="L46" i="20"/>
  <c r="K46" i="20"/>
  <c r="F46" i="20"/>
  <c r="B46" i="20"/>
  <c r="H46" i="20" s="1"/>
  <c r="O45" i="20"/>
  <c r="N45" i="20"/>
  <c r="L45" i="20"/>
  <c r="K45" i="20"/>
  <c r="F45" i="20"/>
  <c r="O44" i="20"/>
  <c r="N44" i="20"/>
  <c r="K44" i="20"/>
  <c r="G44" i="20"/>
  <c r="F44" i="20"/>
  <c r="O38" i="20"/>
  <c r="N38" i="20"/>
  <c r="L38" i="20"/>
  <c r="K38" i="20"/>
  <c r="H38" i="20"/>
  <c r="F38" i="20"/>
  <c r="O36" i="20"/>
  <c r="N36" i="20"/>
  <c r="K36" i="20"/>
  <c r="F36" i="20"/>
  <c r="B36" i="20"/>
  <c r="O35" i="20"/>
  <c r="N35" i="20"/>
  <c r="L35" i="20"/>
  <c r="K35" i="20"/>
  <c r="I35" i="20"/>
  <c r="H35" i="20"/>
  <c r="F35" i="20"/>
  <c r="O34" i="20"/>
  <c r="N34" i="20"/>
  <c r="L34" i="20"/>
  <c r="K34" i="20"/>
  <c r="I34" i="20"/>
  <c r="H34" i="20"/>
  <c r="F34" i="20"/>
  <c r="O33" i="20"/>
  <c r="N33" i="20"/>
  <c r="K33" i="20"/>
  <c r="I33" i="20"/>
  <c r="H33" i="20"/>
  <c r="F33" i="20"/>
  <c r="O32" i="20"/>
  <c r="N32" i="20"/>
  <c r="K32" i="20"/>
  <c r="F32" i="20"/>
  <c r="B32" i="20"/>
  <c r="H32" i="20" s="1"/>
  <c r="O31" i="20"/>
  <c r="N31" i="20"/>
  <c r="L31" i="20"/>
  <c r="K31" i="20"/>
  <c r="H31" i="20"/>
  <c r="F31" i="20"/>
  <c r="O30" i="20"/>
  <c r="N30" i="20"/>
  <c r="K30" i="20"/>
  <c r="F30" i="20"/>
  <c r="B30" i="20"/>
  <c r="O29" i="20"/>
  <c r="N29" i="20"/>
  <c r="L29" i="20"/>
  <c r="K29" i="20"/>
  <c r="F29" i="20"/>
  <c r="O28" i="20"/>
  <c r="N28" i="20"/>
  <c r="L28" i="20"/>
  <c r="K28" i="20"/>
  <c r="I28" i="20"/>
  <c r="H28" i="20"/>
  <c r="F28" i="20"/>
  <c r="O27" i="20"/>
  <c r="N27" i="20"/>
  <c r="L27" i="20"/>
  <c r="K27" i="20"/>
  <c r="F27" i="20"/>
  <c r="O26" i="20"/>
  <c r="N26" i="20"/>
  <c r="L26" i="20"/>
  <c r="K26" i="20"/>
  <c r="I26" i="20"/>
  <c r="H26" i="20"/>
  <c r="F26" i="20"/>
  <c r="O25" i="20"/>
  <c r="N25" i="20"/>
  <c r="L25" i="20"/>
  <c r="K25" i="20"/>
  <c r="I25" i="20"/>
  <c r="H25" i="20"/>
  <c r="F25" i="20"/>
  <c r="O24" i="20"/>
  <c r="N24" i="20"/>
  <c r="K24" i="20"/>
  <c r="F24" i="20"/>
  <c r="B24" i="20"/>
  <c r="O23" i="20"/>
  <c r="N23" i="20"/>
  <c r="L23" i="20"/>
  <c r="K23" i="20"/>
  <c r="I23" i="20"/>
  <c r="H23" i="20"/>
  <c r="G23" i="20"/>
  <c r="F23" i="20"/>
  <c r="O22" i="20"/>
  <c r="N22" i="20"/>
  <c r="L22" i="20"/>
  <c r="K22" i="20"/>
  <c r="I22" i="20"/>
  <c r="H22" i="20"/>
  <c r="F22" i="20"/>
  <c r="O21" i="20"/>
  <c r="N21" i="20"/>
  <c r="L21" i="20"/>
  <c r="K21" i="20"/>
  <c r="I21" i="20"/>
  <c r="H21" i="20"/>
  <c r="F21" i="20"/>
  <c r="O20" i="20"/>
  <c r="N20" i="20"/>
  <c r="K20" i="20"/>
  <c r="F20" i="20"/>
  <c r="B20" i="20"/>
  <c r="H20" i="20" s="1"/>
  <c r="O19" i="20"/>
  <c r="N19" i="20"/>
  <c r="K19" i="20"/>
  <c r="I19" i="20"/>
  <c r="H19" i="20"/>
  <c r="F19" i="20"/>
  <c r="O18" i="20"/>
  <c r="N18" i="20"/>
  <c r="L18" i="20"/>
  <c r="K18" i="20"/>
  <c r="F18" i="20"/>
  <c r="B18" i="20"/>
  <c r="I18" i="20" s="1"/>
  <c r="O17" i="20"/>
  <c r="N17" i="20"/>
  <c r="L17" i="20"/>
  <c r="K17" i="20"/>
  <c r="F17" i="20"/>
  <c r="O16" i="20"/>
  <c r="N16" i="20"/>
  <c r="L16" i="20"/>
  <c r="K16" i="20"/>
  <c r="I16" i="20"/>
  <c r="H16" i="20"/>
  <c r="G16" i="20"/>
  <c r="F16" i="20"/>
  <c r="O15" i="20"/>
  <c r="N15" i="20"/>
  <c r="L15" i="20"/>
  <c r="K15" i="20"/>
  <c r="I15" i="20"/>
  <c r="H15" i="20"/>
  <c r="F15" i="20"/>
  <c r="O14" i="20"/>
  <c r="N14" i="20"/>
  <c r="L14" i="20"/>
  <c r="K14" i="20"/>
  <c r="F14" i="20"/>
  <c r="B14" i="20"/>
  <c r="O13" i="20"/>
  <c r="N13" i="20"/>
  <c r="L13" i="20"/>
  <c r="K13" i="20"/>
  <c r="I13" i="20"/>
  <c r="H13" i="20"/>
  <c r="F13" i="20"/>
  <c r="O12" i="20"/>
  <c r="N12" i="20"/>
  <c r="K12" i="20"/>
  <c r="I12" i="20"/>
  <c r="H12" i="20"/>
  <c r="F12" i="20"/>
  <c r="O11" i="20"/>
  <c r="N11" i="20"/>
  <c r="L11" i="20"/>
  <c r="K11" i="20"/>
  <c r="F11" i="20"/>
  <c r="B11" i="20"/>
  <c r="I11" i="20" s="1"/>
  <c r="O10" i="20"/>
  <c r="N10" i="20"/>
  <c r="L10" i="20"/>
  <c r="K10" i="20"/>
  <c r="I10" i="20"/>
  <c r="H10" i="20"/>
  <c r="F10" i="20"/>
  <c r="O9" i="20"/>
  <c r="N9" i="20"/>
  <c r="K9" i="20"/>
  <c r="I9" i="20"/>
  <c r="H9" i="20"/>
  <c r="F9" i="20"/>
  <c r="O8" i="20"/>
  <c r="N8" i="20"/>
  <c r="L8" i="20"/>
  <c r="K8" i="20"/>
  <c r="I8" i="20"/>
  <c r="H8" i="20"/>
  <c r="F8" i="20"/>
  <c r="O7" i="20"/>
  <c r="N7" i="20"/>
  <c r="L7" i="20"/>
  <c r="K7" i="20"/>
  <c r="F7" i="20"/>
  <c r="B7" i="20"/>
  <c r="O6" i="20"/>
  <c r="N6" i="20"/>
  <c r="L6" i="20"/>
  <c r="K6" i="20"/>
  <c r="F6" i="20"/>
  <c r="O5" i="20"/>
  <c r="N5" i="20"/>
  <c r="L5" i="20"/>
  <c r="K5" i="20"/>
  <c r="F5" i="20"/>
  <c r="M36" i="19"/>
  <c r="O19" i="19" s="1"/>
  <c r="J36" i="19"/>
  <c r="E36" i="19"/>
  <c r="B36" i="19"/>
  <c r="M34" i="19"/>
  <c r="J34" i="19"/>
  <c r="L34" i="19" s="1"/>
  <c r="G34" i="19"/>
  <c r="B34" i="19"/>
  <c r="M33" i="19"/>
  <c r="J33" i="19"/>
  <c r="L33" i="19" s="1"/>
  <c r="G33" i="19"/>
  <c r="B33" i="19"/>
  <c r="O31" i="19"/>
  <c r="M31" i="19"/>
  <c r="J31" i="19"/>
  <c r="B31" i="19"/>
  <c r="I31" i="19" s="1"/>
  <c r="M30" i="19"/>
  <c r="J30" i="19"/>
  <c r="B30" i="19"/>
  <c r="M29" i="19"/>
  <c r="J29" i="19"/>
  <c r="L29" i="19" s="1"/>
  <c r="B29" i="19"/>
  <c r="M26" i="19"/>
  <c r="J26" i="19"/>
  <c r="L26" i="19" s="1"/>
  <c r="B26" i="19"/>
  <c r="M24" i="19"/>
  <c r="J24" i="19"/>
  <c r="B24" i="19"/>
  <c r="M23" i="19"/>
  <c r="J23" i="19"/>
  <c r="G23" i="19"/>
  <c r="B23" i="19"/>
  <c r="H23" i="19" s="1"/>
  <c r="J22" i="19"/>
  <c r="L22" i="19" s="1"/>
  <c r="M21" i="19"/>
  <c r="J21" i="19"/>
  <c r="G21" i="19"/>
  <c r="B21" i="19"/>
  <c r="M20" i="19"/>
  <c r="J20" i="19"/>
  <c r="B20" i="19"/>
  <c r="B18" i="19" s="1"/>
  <c r="I18" i="19" s="1"/>
  <c r="M19" i="19"/>
  <c r="J19" i="19"/>
  <c r="L19" i="19" s="1"/>
  <c r="G19" i="19"/>
  <c r="B19" i="19"/>
  <c r="H19" i="19" s="1"/>
  <c r="M16" i="19"/>
  <c r="J16" i="19"/>
  <c r="L16" i="19" s="1"/>
  <c r="B16" i="19"/>
  <c r="M15" i="19"/>
  <c r="J15" i="19"/>
  <c r="B15" i="19"/>
  <c r="H15" i="19" s="1"/>
  <c r="M13" i="19"/>
  <c r="J13" i="19"/>
  <c r="B13" i="19"/>
  <c r="M12" i="19"/>
  <c r="J12" i="19"/>
  <c r="B12" i="19"/>
  <c r="M10" i="19"/>
  <c r="J10" i="19"/>
  <c r="L10" i="19" s="1"/>
  <c r="B10" i="19"/>
  <c r="M9" i="19"/>
  <c r="J9" i="19"/>
  <c r="L9" i="19" s="1"/>
  <c r="B9" i="19"/>
  <c r="M8" i="19"/>
  <c r="J8" i="19"/>
  <c r="B8" i="19"/>
  <c r="M155" i="18"/>
  <c r="O135" i="18" s="1"/>
  <c r="J155" i="18"/>
  <c r="L130" i="18" s="1"/>
  <c r="E155" i="18"/>
  <c r="B155" i="18"/>
  <c r="O153" i="18"/>
  <c r="L153" i="18"/>
  <c r="I153" i="18"/>
  <c r="H153" i="18"/>
  <c r="M146" i="18"/>
  <c r="O146" i="18" s="1"/>
  <c r="J146" i="18"/>
  <c r="L146" i="18" s="1"/>
  <c r="E146" i="18"/>
  <c r="B146" i="18"/>
  <c r="M143" i="18"/>
  <c r="J143" i="18"/>
  <c r="E143" i="18"/>
  <c r="B143" i="18"/>
  <c r="M142" i="18"/>
  <c r="J142" i="18"/>
  <c r="L142" i="18" s="1"/>
  <c r="E142" i="18"/>
  <c r="B142" i="18"/>
  <c r="M141" i="18"/>
  <c r="J141" i="18"/>
  <c r="L141" i="18" s="1"/>
  <c r="E141" i="18"/>
  <c r="M140" i="18"/>
  <c r="J140" i="18"/>
  <c r="E140" i="18"/>
  <c r="B140" i="18"/>
  <c r="M139" i="18"/>
  <c r="O139" i="18" s="1"/>
  <c r="J139" i="18"/>
  <c r="E139" i="18"/>
  <c r="L137" i="18"/>
  <c r="B137" i="18"/>
  <c r="H137" i="18" s="1"/>
  <c r="I135" i="18"/>
  <c r="H135" i="18"/>
  <c r="L134" i="18"/>
  <c r="B134" i="18"/>
  <c r="H134" i="18" s="1"/>
  <c r="I133" i="18"/>
  <c r="H133" i="18"/>
  <c r="B132" i="18"/>
  <c r="O131" i="18"/>
  <c r="L131" i="18"/>
  <c r="B130" i="18"/>
  <c r="O129" i="18"/>
  <c r="L128" i="18"/>
  <c r="B128" i="18"/>
  <c r="O127" i="18"/>
  <c r="O126" i="18"/>
  <c r="L126" i="18"/>
  <c r="B126" i="18"/>
  <c r="O125" i="18"/>
  <c r="O124" i="18"/>
  <c r="I124" i="18"/>
  <c r="O123" i="18"/>
  <c r="B123" i="18"/>
  <c r="H123" i="18" s="1"/>
  <c r="O122" i="18"/>
  <c r="L122" i="18"/>
  <c r="I122" i="18"/>
  <c r="H122" i="18"/>
  <c r="O121" i="18"/>
  <c r="L121" i="18"/>
  <c r="B121" i="18"/>
  <c r="O120" i="18"/>
  <c r="I120" i="18"/>
  <c r="H120" i="18"/>
  <c r="O119" i="18"/>
  <c r="I119" i="18"/>
  <c r="H119" i="18"/>
  <c r="O118" i="18"/>
  <c r="B118" i="18"/>
  <c r="O117" i="18"/>
  <c r="I117" i="18"/>
  <c r="H117" i="18"/>
  <c r="O116" i="18"/>
  <c r="B116" i="18"/>
  <c r="I116" i="18" s="1"/>
  <c r="O115" i="18"/>
  <c r="H115" i="18"/>
  <c r="O114" i="18"/>
  <c r="I114" i="18"/>
  <c r="O113" i="18"/>
  <c r="L113" i="18"/>
  <c r="I113" i="18"/>
  <c r="H113" i="18"/>
  <c r="O112" i="18"/>
  <c r="L112" i="18"/>
  <c r="B112" i="18"/>
  <c r="H112" i="18" s="1"/>
  <c r="O111" i="18"/>
  <c r="O110" i="18"/>
  <c r="L110" i="18"/>
  <c r="H110" i="18"/>
  <c r="O109" i="18"/>
  <c r="I109" i="18"/>
  <c r="H109" i="18"/>
  <c r="O108" i="18"/>
  <c r="B108" i="18"/>
  <c r="O107" i="18"/>
  <c r="I107" i="18"/>
  <c r="O106" i="18"/>
  <c r="L106" i="18"/>
  <c r="I106" i="18"/>
  <c r="H106" i="18"/>
  <c r="O105" i="18"/>
  <c r="L105" i="18"/>
  <c r="B105" i="18"/>
  <c r="I105" i="18" s="1"/>
  <c r="O104" i="18"/>
  <c r="I104" i="18"/>
  <c r="H104" i="18"/>
  <c r="O103" i="18"/>
  <c r="I103" i="18"/>
  <c r="H103" i="18"/>
  <c r="O102" i="18"/>
  <c r="B102" i="18"/>
  <c r="I102" i="18" s="1"/>
  <c r="O101" i="18"/>
  <c r="H101" i="18"/>
  <c r="O100" i="18"/>
  <c r="H100" i="18"/>
  <c r="O99" i="18"/>
  <c r="I99" i="18"/>
  <c r="H99" i="18"/>
  <c r="O98" i="18"/>
  <c r="I98" i="18"/>
  <c r="H98" i="18"/>
  <c r="O97" i="18"/>
  <c r="B97" i="18"/>
  <c r="I97" i="18" s="1"/>
  <c r="O96" i="18"/>
  <c r="O95" i="18"/>
  <c r="I95" i="18"/>
  <c r="H95" i="18"/>
  <c r="O94" i="18"/>
  <c r="I94" i="18"/>
  <c r="H94" i="18"/>
  <c r="O93" i="18"/>
  <c r="I93" i="18"/>
  <c r="H93" i="18"/>
  <c r="O92" i="18"/>
  <c r="I92" i="18"/>
  <c r="H92" i="18"/>
  <c r="O91" i="18"/>
  <c r="I91" i="18"/>
  <c r="H91" i="18"/>
  <c r="O90" i="18"/>
  <c r="I90" i="18"/>
  <c r="H90" i="18"/>
  <c r="O89" i="18"/>
  <c r="B89" i="18"/>
  <c r="O88" i="18"/>
  <c r="I88" i="18"/>
  <c r="H88" i="18"/>
  <c r="O87" i="18"/>
  <c r="I87" i="18"/>
  <c r="H87" i="18"/>
  <c r="O86" i="18"/>
  <c r="O85" i="18"/>
  <c r="B85" i="18"/>
  <c r="I85" i="18" s="1"/>
  <c r="O84" i="18"/>
  <c r="O83" i="18"/>
  <c r="I83" i="18"/>
  <c r="H83" i="18"/>
  <c r="O82" i="18"/>
  <c r="I82" i="18"/>
  <c r="H82" i="18"/>
  <c r="O81" i="18"/>
  <c r="I81" i="18"/>
  <c r="H81" i="18"/>
  <c r="O80" i="18"/>
  <c r="I80" i="18"/>
  <c r="H80" i="18"/>
  <c r="O79" i="18"/>
  <c r="I79" i="18"/>
  <c r="H79" i="18"/>
  <c r="O78" i="18"/>
  <c r="I78" i="18"/>
  <c r="H78" i="18"/>
  <c r="O77" i="18"/>
  <c r="B77" i="18"/>
  <c r="I77" i="18" s="1"/>
  <c r="O76" i="18"/>
  <c r="H76" i="18"/>
  <c r="O75" i="18"/>
  <c r="I75" i="18"/>
  <c r="H75" i="18"/>
  <c r="O74" i="18"/>
  <c r="I74" i="18"/>
  <c r="H74" i="18"/>
  <c r="O73" i="18"/>
  <c r="I73" i="18"/>
  <c r="O72" i="18"/>
  <c r="B72" i="18"/>
  <c r="H72" i="18" s="1"/>
  <c r="O71" i="18"/>
  <c r="L71" i="18"/>
  <c r="O70" i="18"/>
  <c r="H70" i="18"/>
  <c r="O69" i="18"/>
  <c r="I69" i="18"/>
  <c r="H69" i="18"/>
  <c r="O68" i="18"/>
  <c r="I68" i="18"/>
  <c r="H68" i="18"/>
  <c r="O67" i="18"/>
  <c r="L67" i="18"/>
  <c r="I67" i="18"/>
  <c r="H67" i="18"/>
  <c r="O66" i="18"/>
  <c r="L66" i="18"/>
  <c r="B66" i="18"/>
  <c r="I66" i="18" s="1"/>
  <c r="O65" i="18"/>
  <c r="O64" i="18"/>
  <c r="L64" i="18"/>
  <c r="I64" i="18"/>
  <c r="H64" i="18"/>
  <c r="O63" i="18"/>
  <c r="L63" i="18"/>
  <c r="H63" i="18"/>
  <c r="O62" i="18"/>
  <c r="B62" i="18"/>
  <c r="O61" i="18"/>
  <c r="I61" i="18"/>
  <c r="H61" i="18"/>
  <c r="O60" i="18"/>
  <c r="B60" i="18"/>
  <c r="O59" i="18"/>
  <c r="O58" i="18"/>
  <c r="L58" i="18"/>
  <c r="H58" i="18"/>
  <c r="O57" i="18"/>
  <c r="I57" i="18"/>
  <c r="H57" i="18"/>
  <c r="O56" i="18"/>
  <c r="I56" i="18"/>
  <c r="H56" i="18"/>
  <c r="O55" i="18"/>
  <c r="I55" i="18"/>
  <c r="O54" i="18"/>
  <c r="L54" i="18"/>
  <c r="I54" i="18"/>
  <c r="H54" i="18"/>
  <c r="O53" i="18"/>
  <c r="L53" i="18"/>
  <c r="I53" i="18"/>
  <c r="H53" i="18"/>
  <c r="O52" i="18"/>
  <c r="L52" i="18"/>
  <c r="B52" i="18"/>
  <c r="H52" i="18" s="1"/>
  <c r="O51" i="18"/>
  <c r="H51" i="18"/>
  <c r="O50" i="18"/>
  <c r="L50" i="18"/>
  <c r="I50" i="18"/>
  <c r="H50" i="18"/>
  <c r="O49" i="18"/>
  <c r="L49" i="18"/>
  <c r="I49" i="18"/>
  <c r="H49" i="18"/>
  <c r="O48" i="18"/>
  <c r="L48" i="18"/>
  <c r="I48" i="18"/>
  <c r="H48" i="18"/>
  <c r="O47" i="18"/>
  <c r="L47" i="18"/>
  <c r="I47" i="18"/>
  <c r="H47" i="18"/>
  <c r="O46" i="18"/>
  <c r="L46" i="18"/>
  <c r="I46" i="18"/>
  <c r="H46" i="18"/>
  <c r="O45" i="18"/>
  <c r="L45" i="18"/>
  <c r="I45" i="18"/>
  <c r="H45" i="18"/>
  <c r="O44" i="18"/>
  <c r="L44" i="18"/>
  <c r="B44" i="18"/>
  <c r="I44" i="18" s="1"/>
  <c r="O43" i="18"/>
  <c r="I43" i="18"/>
  <c r="H43" i="18"/>
  <c r="O42" i="18"/>
  <c r="I42" i="18"/>
  <c r="H42" i="18"/>
  <c r="O41" i="18"/>
  <c r="I41" i="18"/>
  <c r="H41" i="18"/>
  <c r="O40" i="18"/>
  <c r="I40" i="18"/>
  <c r="H40" i="18"/>
  <c r="O39" i="18"/>
  <c r="I39" i="18"/>
  <c r="O38" i="18"/>
  <c r="I38" i="18"/>
  <c r="H38" i="18"/>
  <c r="O37" i="18"/>
  <c r="B37" i="18"/>
  <c r="O36" i="18"/>
  <c r="I36" i="18"/>
  <c r="O35" i="18"/>
  <c r="L35" i="18"/>
  <c r="I35" i="18"/>
  <c r="H35" i="18"/>
  <c r="O34" i="18"/>
  <c r="L34" i="18"/>
  <c r="H34" i="18"/>
  <c r="O33" i="18"/>
  <c r="I33" i="18"/>
  <c r="H33" i="18"/>
  <c r="O32" i="18"/>
  <c r="B32" i="18"/>
  <c r="H32" i="18" s="1"/>
  <c r="O31" i="18"/>
  <c r="L31" i="18"/>
  <c r="O30" i="18"/>
  <c r="H30" i="18"/>
  <c r="O29" i="18"/>
  <c r="I29" i="18"/>
  <c r="H29" i="18"/>
  <c r="O28" i="18"/>
  <c r="I28" i="18"/>
  <c r="H28" i="18"/>
  <c r="O27" i="18"/>
  <c r="I27" i="18"/>
  <c r="H27" i="18"/>
  <c r="O26" i="18"/>
  <c r="I26" i="18"/>
  <c r="H26" i="18"/>
  <c r="O25" i="18"/>
  <c r="B25" i="18"/>
  <c r="I25" i="18" s="1"/>
  <c r="O24" i="18"/>
  <c r="I24" i="18"/>
  <c r="H24" i="18"/>
  <c r="O23" i="18"/>
  <c r="B23" i="18"/>
  <c r="H23" i="18" s="1"/>
  <c r="O22" i="18"/>
  <c r="H22" i="18"/>
  <c r="O21" i="18"/>
  <c r="L21" i="18"/>
  <c r="I21" i="18"/>
  <c r="H21" i="18"/>
  <c r="O20" i="18"/>
  <c r="L20" i="18"/>
  <c r="I20" i="18"/>
  <c r="H20" i="18"/>
  <c r="O19" i="18"/>
  <c r="L19" i="18"/>
  <c r="B19" i="18"/>
  <c r="H19" i="18" s="1"/>
  <c r="O18" i="18"/>
  <c r="H18" i="18"/>
  <c r="O17" i="18"/>
  <c r="I17" i="18"/>
  <c r="H17" i="18"/>
  <c r="O16" i="18"/>
  <c r="B16" i="18"/>
  <c r="I16" i="18" s="1"/>
  <c r="O15" i="18"/>
  <c r="L15" i="18"/>
  <c r="I15" i="18"/>
  <c r="H15" i="18"/>
  <c r="O14" i="18"/>
  <c r="L14" i="18"/>
  <c r="B14" i="18"/>
  <c r="I14" i="18" s="1"/>
  <c r="O13" i="18"/>
  <c r="H13" i="18"/>
  <c r="O12" i="18"/>
  <c r="I12" i="18"/>
  <c r="H12" i="18"/>
  <c r="O11" i="18"/>
  <c r="I11" i="18"/>
  <c r="H11" i="18"/>
  <c r="O10" i="18"/>
  <c r="B10" i="18"/>
  <c r="H10" i="18" s="1"/>
  <c r="O9" i="18"/>
  <c r="L9" i="18"/>
  <c r="I9" i="18"/>
  <c r="H9" i="18"/>
  <c r="O8" i="18"/>
  <c r="L8" i="18"/>
  <c r="I8" i="18"/>
  <c r="H8" i="18"/>
  <c r="O7" i="18"/>
  <c r="L7" i="18"/>
  <c r="B7" i="18"/>
  <c r="H7" i="18" s="1"/>
  <c r="O6" i="18"/>
  <c r="I6" i="18"/>
  <c r="H6" i="18"/>
  <c r="O5" i="18"/>
  <c r="B5" i="18"/>
  <c r="I5" i="18" s="1"/>
  <c r="M38" i="17"/>
  <c r="J38" i="17"/>
  <c r="E38" i="17"/>
  <c r="B38" i="17"/>
  <c r="M35" i="17"/>
  <c r="O35" i="17" s="1"/>
  <c r="J35" i="17"/>
  <c r="B35" i="17"/>
  <c r="M34" i="17"/>
  <c r="J34" i="17"/>
  <c r="L34" i="17" s="1"/>
  <c r="E34" i="17"/>
  <c r="B34" i="17"/>
  <c r="M33" i="17"/>
  <c r="O33" i="17" s="1"/>
  <c r="J33" i="17"/>
  <c r="L33" i="17" s="1"/>
  <c r="E33" i="17"/>
  <c r="B33" i="17"/>
  <c r="M32" i="17"/>
  <c r="L32" i="17"/>
  <c r="J32" i="17"/>
  <c r="E32" i="17"/>
  <c r="B32" i="17"/>
  <c r="O31" i="17"/>
  <c r="M31" i="17"/>
  <c r="J31" i="17"/>
  <c r="E31" i="17"/>
  <c r="G31" i="17" s="1"/>
  <c r="B31" i="17"/>
  <c r="M30" i="17"/>
  <c r="J30" i="17"/>
  <c r="L30" i="17" s="1"/>
  <c r="B30" i="17"/>
  <c r="M29" i="17"/>
  <c r="O29" i="17" s="1"/>
  <c r="J29" i="17"/>
  <c r="E29" i="17"/>
  <c r="B29" i="17"/>
  <c r="M28" i="17"/>
  <c r="J28" i="17"/>
  <c r="E28" i="17"/>
  <c r="B28" i="17"/>
  <c r="M27" i="17"/>
  <c r="O27" i="17" s="1"/>
  <c r="J27" i="17"/>
  <c r="E27" i="17"/>
  <c r="G27" i="17" s="1"/>
  <c r="B27" i="17"/>
  <c r="M26" i="17"/>
  <c r="J26" i="17"/>
  <c r="E26" i="17"/>
  <c r="I26" i="17" s="1"/>
  <c r="B26" i="17"/>
  <c r="M25" i="17"/>
  <c r="O25" i="17" s="1"/>
  <c r="J25" i="17"/>
  <c r="E25" i="17"/>
  <c r="I25" i="17" s="1"/>
  <c r="B25" i="17"/>
  <c r="M24" i="17"/>
  <c r="J24" i="17"/>
  <c r="E24" i="17"/>
  <c r="B24" i="17"/>
  <c r="M23" i="17"/>
  <c r="O23" i="17" s="1"/>
  <c r="J23" i="17"/>
  <c r="G23" i="17"/>
  <c r="B23" i="17"/>
  <c r="M22" i="17"/>
  <c r="J22" i="17"/>
  <c r="I22" i="17"/>
  <c r="B22" i="17"/>
  <c r="H22" i="17" s="1"/>
  <c r="M21" i="17"/>
  <c r="O21" i="17" s="1"/>
  <c r="J21" i="17"/>
  <c r="E21" i="17"/>
  <c r="B21" i="17"/>
  <c r="M20" i="17"/>
  <c r="J20" i="17"/>
  <c r="E20" i="17"/>
  <c r="H20" i="17" s="1"/>
  <c r="B20" i="17"/>
  <c r="M19" i="17"/>
  <c r="O19" i="17" s="1"/>
  <c r="J19" i="17"/>
  <c r="G19" i="17"/>
  <c r="B19" i="17"/>
  <c r="H19" i="17" s="1"/>
  <c r="M18" i="17"/>
  <c r="J18" i="17"/>
  <c r="E18" i="17"/>
  <c r="I18" i="17" s="1"/>
  <c r="B18" i="17"/>
  <c r="M17" i="17"/>
  <c r="O17" i="17" s="1"/>
  <c r="J17" i="17"/>
  <c r="E17" i="17"/>
  <c r="G17" i="17" s="1"/>
  <c r="B17" i="17"/>
  <c r="M16" i="17"/>
  <c r="O16" i="17" s="1"/>
  <c r="J16" i="17"/>
  <c r="B16" i="17"/>
  <c r="M15" i="17"/>
  <c r="O15" i="17" s="1"/>
  <c r="J15" i="17"/>
  <c r="E15" i="17"/>
  <c r="B15" i="17"/>
  <c r="M14" i="17"/>
  <c r="O14" i="17" s="1"/>
  <c r="J14" i="17"/>
  <c r="E14" i="17"/>
  <c r="B14" i="17"/>
  <c r="M13" i="17"/>
  <c r="O13" i="17" s="1"/>
  <c r="J13" i="17"/>
  <c r="E13" i="17"/>
  <c r="B13" i="17"/>
  <c r="M12" i="17"/>
  <c r="O12" i="17" s="1"/>
  <c r="J12" i="17"/>
  <c r="E12" i="17"/>
  <c r="B12" i="17"/>
  <c r="M11" i="17"/>
  <c r="O11" i="17" s="1"/>
  <c r="J11" i="17"/>
  <c r="E11" i="17"/>
  <c r="B11" i="17"/>
  <c r="M10" i="17"/>
  <c r="J10" i="17"/>
  <c r="E10" i="17"/>
  <c r="B10" i="17"/>
  <c r="M9" i="17"/>
  <c r="O9" i="17" s="1"/>
  <c r="J9" i="17"/>
  <c r="E9" i="17"/>
  <c r="G9" i="17" s="1"/>
  <c r="B9" i="17"/>
  <c r="M8" i="17"/>
  <c r="O8" i="17" s="1"/>
  <c r="J8" i="17"/>
  <c r="E8" i="17"/>
  <c r="B8" i="17"/>
  <c r="M7" i="17"/>
  <c r="O7" i="17" s="1"/>
  <c r="J7" i="17"/>
  <c r="E7" i="17"/>
  <c r="B7" i="17"/>
  <c r="M6" i="17"/>
  <c r="O6" i="17" s="1"/>
  <c r="J6" i="17"/>
  <c r="E6" i="17"/>
  <c r="B6" i="17"/>
  <c r="M5" i="17"/>
  <c r="O5" i="17" s="1"/>
  <c r="J5" i="17"/>
  <c r="E5" i="17"/>
  <c r="B5" i="17"/>
  <c r="O27" i="13"/>
  <c r="N27" i="13"/>
  <c r="L27" i="13"/>
  <c r="K27" i="13"/>
  <c r="I27" i="13"/>
  <c r="H27" i="13"/>
  <c r="G27" i="13"/>
  <c r="F27" i="13"/>
  <c r="D27" i="13"/>
  <c r="C27" i="13"/>
  <c r="M21" i="13"/>
  <c r="O21" i="13" s="1"/>
  <c r="J21" i="13"/>
  <c r="K7" i="13" s="1"/>
  <c r="B21" i="13"/>
  <c r="M20" i="13"/>
  <c r="O20" i="13" s="1"/>
  <c r="J20" i="13"/>
  <c r="K20" i="13" s="1"/>
  <c r="E20" i="13"/>
  <c r="G20" i="13" s="1"/>
  <c r="B20" i="13"/>
  <c r="D20" i="13" s="1"/>
  <c r="O19" i="13"/>
  <c r="L19" i="13"/>
  <c r="I19" i="13"/>
  <c r="H19" i="13"/>
  <c r="G19" i="13"/>
  <c r="D19" i="13"/>
  <c r="O18" i="13"/>
  <c r="L18" i="13"/>
  <c r="K18" i="13"/>
  <c r="I18" i="13"/>
  <c r="H18" i="13"/>
  <c r="G18" i="13"/>
  <c r="D18" i="13"/>
  <c r="O17" i="13"/>
  <c r="L17" i="13"/>
  <c r="I17" i="13"/>
  <c r="H17" i="13"/>
  <c r="G17" i="13"/>
  <c r="D17" i="13"/>
  <c r="O16" i="13"/>
  <c r="N16" i="13"/>
  <c r="L16" i="13"/>
  <c r="K16" i="13"/>
  <c r="I16" i="13"/>
  <c r="H16" i="13"/>
  <c r="G16" i="13"/>
  <c r="D16" i="13"/>
  <c r="O15" i="13"/>
  <c r="N15" i="13"/>
  <c r="L15" i="13"/>
  <c r="I15" i="13"/>
  <c r="H15" i="13"/>
  <c r="G15" i="13"/>
  <c r="F15" i="13"/>
  <c r="D15" i="13"/>
  <c r="C15" i="13"/>
  <c r="O14" i="13"/>
  <c r="L14" i="13"/>
  <c r="K14" i="13"/>
  <c r="I14" i="13"/>
  <c r="H14" i="13"/>
  <c r="G14" i="13"/>
  <c r="D14" i="13"/>
  <c r="O13" i="13"/>
  <c r="L13" i="13"/>
  <c r="I13" i="13"/>
  <c r="H13" i="13"/>
  <c r="G13" i="13"/>
  <c r="D13" i="13"/>
  <c r="C13" i="13"/>
  <c r="O12" i="13"/>
  <c r="L12" i="13"/>
  <c r="K12" i="13"/>
  <c r="I12" i="13"/>
  <c r="H12" i="13"/>
  <c r="G12" i="13"/>
  <c r="F12" i="13"/>
  <c r="D12" i="13"/>
  <c r="O11" i="13"/>
  <c r="L11" i="13"/>
  <c r="I11" i="13"/>
  <c r="H11" i="13"/>
  <c r="G11" i="13"/>
  <c r="F11" i="13"/>
  <c r="D11" i="13"/>
  <c r="O10" i="13"/>
  <c r="L10" i="13"/>
  <c r="K10" i="13"/>
  <c r="I10" i="13"/>
  <c r="H10" i="13"/>
  <c r="G10" i="13"/>
  <c r="D10" i="13"/>
  <c r="O9" i="13"/>
  <c r="L9" i="13"/>
  <c r="I9" i="13"/>
  <c r="H9" i="13"/>
  <c r="G9" i="13"/>
  <c r="D9" i="13"/>
  <c r="O8" i="13"/>
  <c r="L8" i="13"/>
  <c r="K8" i="13"/>
  <c r="H8" i="13"/>
  <c r="G8" i="13"/>
  <c r="D8" i="13"/>
  <c r="O7" i="13"/>
  <c r="N7" i="13"/>
  <c r="L7" i="13"/>
  <c r="I7" i="13"/>
  <c r="H7" i="13"/>
  <c r="G7" i="13"/>
  <c r="D7" i="13"/>
  <c r="O6" i="13"/>
  <c r="L6" i="13"/>
  <c r="I6" i="13"/>
  <c r="H6" i="13"/>
  <c r="G6" i="13"/>
  <c r="D6" i="13"/>
  <c r="O5" i="13"/>
  <c r="L5" i="13"/>
  <c r="I5" i="13"/>
  <c r="H5" i="13"/>
  <c r="G5" i="13"/>
  <c r="D5" i="13"/>
  <c r="M19" i="16"/>
  <c r="J19" i="16"/>
  <c r="L5" i="16" s="1"/>
  <c r="E19" i="16"/>
  <c r="G5" i="16" s="1"/>
  <c r="B19" i="16"/>
  <c r="M14" i="16"/>
  <c r="O14" i="16" s="1"/>
  <c r="J14" i="16"/>
  <c r="L14" i="16" s="1"/>
  <c r="B14" i="16"/>
  <c r="D14" i="16" s="1"/>
  <c r="M13" i="16"/>
  <c r="J13" i="16"/>
  <c r="L13" i="16" s="1"/>
  <c r="B13" i="16"/>
  <c r="H13" i="16" s="1"/>
  <c r="M12" i="16"/>
  <c r="J12" i="16"/>
  <c r="L12" i="16" s="1"/>
  <c r="B12" i="16"/>
  <c r="M11" i="16"/>
  <c r="J11" i="16"/>
  <c r="L11" i="16" s="1"/>
  <c r="B11" i="16"/>
  <c r="H11" i="16" s="1"/>
  <c r="M10" i="16"/>
  <c r="O10" i="16" s="1"/>
  <c r="J10" i="16"/>
  <c r="B10" i="16"/>
  <c r="M9" i="16"/>
  <c r="J9" i="16"/>
  <c r="B9" i="16"/>
  <c r="M8" i="16"/>
  <c r="J8" i="16"/>
  <c r="B8" i="16"/>
  <c r="M7" i="16"/>
  <c r="J7" i="16"/>
  <c r="L7" i="16" s="1"/>
  <c r="H7" i="16"/>
  <c r="B7" i="16"/>
  <c r="M6" i="16"/>
  <c r="J6" i="16"/>
  <c r="L6" i="16" s="1"/>
  <c r="H6" i="16"/>
  <c r="B6" i="16"/>
  <c r="B5" i="16"/>
  <c r="I20" i="20" l="1"/>
  <c r="H30" i="20"/>
  <c r="I30" i="20"/>
  <c r="H36" i="20"/>
  <c r="I36" i="20"/>
  <c r="B55" i="20"/>
  <c r="H55" i="20" s="1"/>
  <c r="B29" i="20"/>
  <c r="B27" i="20" s="1"/>
  <c r="I27" i="20" s="1"/>
  <c r="H18" i="20"/>
  <c r="G28" i="20"/>
  <c r="I55" i="20"/>
  <c r="G7" i="20"/>
  <c r="L9" i="20"/>
  <c r="L12" i="20"/>
  <c r="G14" i="20"/>
  <c r="L19" i="20"/>
  <c r="L20" i="20"/>
  <c r="L24" i="20"/>
  <c r="G29" i="20"/>
  <c r="L30" i="20"/>
  <c r="L32" i="20"/>
  <c r="G33" i="20"/>
  <c r="L33" i="20"/>
  <c r="L36" i="20"/>
  <c r="L44" i="20"/>
  <c r="L51" i="20"/>
  <c r="I53" i="20"/>
  <c r="I32" i="20"/>
  <c r="H50" i="20"/>
  <c r="B17" i="20"/>
  <c r="H17" i="20" s="1"/>
  <c r="I46" i="20"/>
  <c r="I56" i="20"/>
  <c r="I108" i="18"/>
  <c r="O143" i="18"/>
  <c r="O140" i="18"/>
  <c r="O142" i="18"/>
  <c r="G54" i="18"/>
  <c r="G136" i="18"/>
  <c r="D48" i="18"/>
  <c r="D136" i="18"/>
  <c r="L13" i="18"/>
  <c r="L86" i="18"/>
  <c r="L87" i="18"/>
  <c r="L88" i="18"/>
  <c r="L97" i="18"/>
  <c r="L98" i="18"/>
  <c r="L99" i="18"/>
  <c r="L123" i="18"/>
  <c r="L125" i="18"/>
  <c r="L129" i="18"/>
  <c r="L133" i="18"/>
  <c r="L23" i="18"/>
  <c r="L24" i="18"/>
  <c r="L76" i="18"/>
  <c r="L102" i="18"/>
  <c r="L103" i="18"/>
  <c r="L104" i="18"/>
  <c r="L108" i="18"/>
  <c r="L109" i="18"/>
  <c r="L132" i="18"/>
  <c r="L135" i="18"/>
  <c r="I134" i="18"/>
  <c r="O128" i="18"/>
  <c r="O130" i="18"/>
  <c r="O137" i="18"/>
  <c r="O132" i="18"/>
  <c r="O133" i="18"/>
  <c r="O134" i="18"/>
  <c r="G74" i="18"/>
  <c r="G119" i="18"/>
  <c r="L36" i="18"/>
  <c r="L73" i="18"/>
  <c r="L114" i="18"/>
  <c r="L5" i="18"/>
  <c r="L6" i="18"/>
  <c r="L16" i="18"/>
  <c r="L17" i="18"/>
  <c r="L22" i="18"/>
  <c r="L30" i="18"/>
  <c r="L37" i="18"/>
  <c r="L38" i="18"/>
  <c r="L51" i="18"/>
  <c r="L59" i="18"/>
  <c r="L62" i="18"/>
  <c r="L70" i="18"/>
  <c r="L77" i="18"/>
  <c r="L78" i="18"/>
  <c r="L79" i="18"/>
  <c r="L80" i="18"/>
  <c r="L81" i="18"/>
  <c r="L82" i="18"/>
  <c r="L83" i="18"/>
  <c r="L85" i="18"/>
  <c r="L96" i="18"/>
  <c r="L101" i="18"/>
  <c r="L115" i="18"/>
  <c r="L118" i="18"/>
  <c r="L124" i="18"/>
  <c r="G68" i="18"/>
  <c r="L10" i="18"/>
  <c r="L11" i="18"/>
  <c r="L12" i="18"/>
  <c r="L18" i="18"/>
  <c r="L25" i="18"/>
  <c r="L26" i="18"/>
  <c r="L27" i="18"/>
  <c r="L28" i="18"/>
  <c r="L29" i="18"/>
  <c r="L32" i="18"/>
  <c r="L33" i="18"/>
  <c r="L39" i="18"/>
  <c r="L40" i="18"/>
  <c r="L41" i="18"/>
  <c r="L42" i="18"/>
  <c r="L43" i="18"/>
  <c r="L55" i="18"/>
  <c r="L56" i="18"/>
  <c r="L57" i="18"/>
  <c r="L60" i="18"/>
  <c r="L61" i="18"/>
  <c r="L65" i="18"/>
  <c r="L68" i="18"/>
  <c r="L69" i="18"/>
  <c r="L72" i="18"/>
  <c r="L74" i="18"/>
  <c r="L75" i="18"/>
  <c r="L84" i="18"/>
  <c r="L89" i="18"/>
  <c r="L90" i="18"/>
  <c r="L91" i="18"/>
  <c r="L92" i="18"/>
  <c r="L93" i="18"/>
  <c r="L94" i="18"/>
  <c r="L95" i="18"/>
  <c r="L100" i="18"/>
  <c r="L107" i="18"/>
  <c r="L111" i="18"/>
  <c r="L116" i="18"/>
  <c r="L117" i="18"/>
  <c r="L119" i="18"/>
  <c r="L120" i="18"/>
  <c r="L127" i="18"/>
  <c r="L139" i="18"/>
  <c r="L140" i="18"/>
  <c r="I10" i="18"/>
  <c r="I19" i="18"/>
  <c r="G29" i="18"/>
  <c r="B31" i="18"/>
  <c r="I31" i="18" s="1"/>
  <c r="H14" i="18"/>
  <c r="H142" i="18"/>
  <c r="G7" i="18"/>
  <c r="G40" i="18"/>
  <c r="G46" i="18"/>
  <c r="G6" i="18"/>
  <c r="D17" i="18"/>
  <c r="G35" i="18"/>
  <c r="G59" i="18"/>
  <c r="B65" i="18"/>
  <c r="H65" i="18" s="1"/>
  <c r="G110" i="18"/>
  <c r="B111" i="18"/>
  <c r="I111" i="18" s="1"/>
  <c r="I112" i="18"/>
  <c r="I137" i="18"/>
  <c r="G5" i="18"/>
  <c r="G13" i="18"/>
  <c r="G19" i="18"/>
  <c r="B139" i="18"/>
  <c r="D139" i="18" s="1"/>
  <c r="I72" i="18"/>
  <c r="H85" i="18"/>
  <c r="I5" i="17"/>
  <c r="H10" i="17"/>
  <c r="L17" i="17"/>
  <c r="L18" i="17"/>
  <c r="L20" i="17"/>
  <c r="L21" i="17"/>
  <c r="L22" i="17"/>
  <c r="L23" i="17"/>
  <c r="L24" i="17"/>
  <c r="L25" i="17"/>
  <c r="L26" i="17"/>
  <c r="L27" i="17"/>
  <c r="L28" i="17"/>
  <c r="L29" i="17"/>
  <c r="L7" i="17"/>
  <c r="L9" i="17"/>
  <c r="L10" i="17"/>
  <c r="L11" i="17"/>
  <c r="L12" i="17"/>
  <c r="L15" i="17"/>
  <c r="L31" i="17"/>
  <c r="H34" i="17"/>
  <c r="L35" i="17"/>
  <c r="N11" i="13"/>
  <c r="N6" i="13"/>
  <c r="N21" i="13"/>
  <c r="N5" i="13"/>
  <c r="N9" i="13"/>
  <c r="N10" i="13"/>
  <c r="N19" i="13"/>
  <c r="C20" i="13"/>
  <c r="N8" i="13"/>
  <c r="N12" i="13"/>
  <c r="N13" i="13"/>
  <c r="N14" i="13"/>
  <c r="N17" i="13"/>
  <c r="N18" i="13"/>
  <c r="H20" i="13"/>
  <c r="C17" i="13"/>
  <c r="C19" i="13"/>
  <c r="I21" i="13"/>
  <c r="C9" i="13"/>
  <c r="C11" i="13"/>
  <c r="L20" i="13"/>
  <c r="F9" i="13"/>
  <c r="F13" i="13"/>
  <c r="F14" i="13"/>
  <c r="F5" i="13"/>
  <c r="F6" i="13"/>
  <c r="F7" i="13"/>
  <c r="F8" i="13"/>
  <c r="F19" i="13"/>
  <c r="F21" i="13"/>
  <c r="F10" i="13"/>
  <c r="G21" i="13"/>
  <c r="H21" i="13"/>
  <c r="F16" i="13"/>
  <c r="F17" i="13"/>
  <c r="F18" i="13"/>
  <c r="H5" i="16"/>
  <c r="I5" i="16"/>
  <c r="D6" i="16"/>
  <c r="D8" i="16"/>
  <c r="D12" i="16"/>
  <c r="H14" i="16"/>
  <c r="D10" i="16"/>
  <c r="I20" i="19"/>
  <c r="M28" i="19"/>
  <c r="H33" i="19"/>
  <c r="I33" i="19"/>
  <c r="L8" i="19"/>
  <c r="O9" i="19"/>
  <c r="L13" i="19"/>
  <c r="O15" i="19"/>
  <c r="L20" i="19"/>
  <c r="L21" i="19"/>
  <c r="L24" i="19"/>
  <c r="O34" i="19"/>
  <c r="L12" i="19"/>
  <c r="O13" i="19"/>
  <c r="O21" i="19"/>
  <c r="L23" i="19"/>
  <c r="M22" i="19"/>
  <c r="L30" i="19"/>
  <c r="L31" i="19"/>
  <c r="O23" i="19"/>
  <c r="I23" i="18"/>
  <c r="I123" i="18"/>
  <c r="D7" i="18"/>
  <c r="H25" i="18"/>
  <c r="J138" i="18"/>
  <c r="K128" i="18" s="1"/>
  <c r="H44" i="18"/>
  <c r="I52" i="18"/>
  <c r="I65" i="18"/>
  <c r="H77" i="18"/>
  <c r="M147" i="18"/>
  <c r="I143" i="18"/>
  <c r="I7" i="18"/>
  <c r="E147" i="18"/>
  <c r="G147" i="18" s="1"/>
  <c r="G140" i="18"/>
  <c r="J15" i="16"/>
  <c r="K5" i="16" s="1"/>
  <c r="H9" i="16"/>
  <c r="H12" i="17"/>
  <c r="J18" i="19"/>
  <c r="L18" i="19" s="1"/>
  <c r="D38" i="20"/>
  <c r="L8" i="16"/>
  <c r="G9" i="16"/>
  <c r="H10" i="16"/>
  <c r="G11" i="16"/>
  <c r="I13" i="17"/>
  <c r="D14" i="17"/>
  <c r="I29" i="17"/>
  <c r="I30" i="17"/>
  <c r="I33" i="17"/>
  <c r="I34" i="17"/>
  <c r="G11" i="18"/>
  <c r="D21" i="18"/>
  <c r="D23" i="18"/>
  <c r="G27" i="18"/>
  <c r="D34" i="18"/>
  <c r="G65" i="18"/>
  <c r="D91" i="18"/>
  <c r="G95" i="18"/>
  <c r="G100" i="18"/>
  <c r="G101" i="18"/>
  <c r="G131" i="18"/>
  <c r="G132" i="18"/>
  <c r="G142" i="18"/>
  <c r="G15" i="19"/>
  <c r="B22" i="19"/>
  <c r="D22" i="19" s="1"/>
  <c r="G6" i="20"/>
  <c r="G9" i="20"/>
  <c r="G11" i="20"/>
  <c r="G19" i="20"/>
  <c r="G21" i="20"/>
  <c r="G24" i="20"/>
  <c r="G31" i="20"/>
  <c r="G49" i="20"/>
  <c r="G51" i="20"/>
  <c r="H11" i="17"/>
  <c r="D13" i="17"/>
  <c r="H18" i="17"/>
  <c r="H9" i="19"/>
  <c r="B15" i="16"/>
  <c r="L9" i="16"/>
  <c r="L10" i="16"/>
  <c r="H26" i="17"/>
  <c r="D19" i="18"/>
  <c r="G21" i="18"/>
  <c r="D30" i="18"/>
  <c r="D35" i="18"/>
  <c r="G42" i="18"/>
  <c r="G62" i="18"/>
  <c r="G63" i="18"/>
  <c r="G70" i="18"/>
  <c r="G76" i="18"/>
  <c r="G85" i="18"/>
  <c r="G105" i="18"/>
  <c r="G106" i="18"/>
  <c r="G121" i="18"/>
  <c r="G137" i="18"/>
  <c r="I10" i="19"/>
  <c r="H13" i="19"/>
  <c r="B14" i="19"/>
  <c r="I14" i="19" s="1"/>
  <c r="J14" i="19"/>
  <c r="L14" i="19" s="1"/>
  <c r="I16" i="19"/>
  <c r="H21" i="19"/>
  <c r="D29" i="19"/>
  <c r="G13" i="20"/>
  <c r="G26" i="20"/>
  <c r="G35" i="20"/>
  <c r="G47" i="20"/>
  <c r="G57" i="20"/>
  <c r="G60" i="20"/>
  <c r="G13" i="17"/>
  <c r="G7" i="16"/>
  <c r="H12" i="16"/>
  <c r="G5" i="17"/>
  <c r="H13" i="17"/>
  <c r="I21" i="17"/>
  <c r="H30" i="17"/>
  <c r="G8" i="18"/>
  <c r="G18" i="18"/>
  <c r="G20" i="18"/>
  <c r="G23" i="18"/>
  <c r="G25" i="18"/>
  <c r="G31" i="18"/>
  <c r="G37" i="18"/>
  <c r="G38" i="18"/>
  <c r="G44" i="18"/>
  <c r="G48" i="18"/>
  <c r="G50" i="18"/>
  <c r="G52" i="18"/>
  <c r="G57" i="18"/>
  <c r="G60" i="18"/>
  <c r="G61" i="18"/>
  <c r="G64" i="18"/>
  <c r="G71" i="18"/>
  <c r="G79" i="18"/>
  <c r="G81" i="18"/>
  <c r="G83" i="18"/>
  <c r="G86" i="18"/>
  <c r="G87" i="18"/>
  <c r="G91" i="18"/>
  <c r="G93" i="18"/>
  <c r="G102" i="18"/>
  <c r="G103" i="18"/>
  <c r="G107" i="18"/>
  <c r="G111" i="18"/>
  <c r="G112" i="18"/>
  <c r="G113" i="18"/>
  <c r="G118" i="18"/>
  <c r="G123" i="18"/>
  <c r="G129" i="18"/>
  <c r="G130" i="18"/>
  <c r="G134" i="18"/>
  <c r="G139" i="18"/>
  <c r="G9" i="19"/>
  <c r="I12" i="19"/>
  <c r="L15" i="19"/>
  <c r="I29" i="19"/>
  <c r="O29" i="19"/>
  <c r="G31" i="19"/>
  <c r="B32" i="19"/>
  <c r="D32" i="19" s="1"/>
  <c r="D18" i="20"/>
  <c r="D34" i="20"/>
  <c r="D58" i="20"/>
  <c r="G13" i="16"/>
  <c r="O13" i="16"/>
  <c r="H5" i="17"/>
  <c r="G11" i="17"/>
  <c r="G10" i="18"/>
  <c r="G12" i="18"/>
  <c r="G14" i="18"/>
  <c r="G16" i="18"/>
  <c r="G22" i="18"/>
  <c r="G24" i="18"/>
  <c r="G26" i="18"/>
  <c r="G28" i="18"/>
  <c r="G32" i="18"/>
  <c r="G34" i="18"/>
  <c r="G36" i="18"/>
  <c r="G41" i="18"/>
  <c r="G43" i="18"/>
  <c r="G45" i="18"/>
  <c r="G47" i="18"/>
  <c r="G53" i="18"/>
  <c r="G55" i="18"/>
  <c r="G66" i="18"/>
  <c r="G67" i="18"/>
  <c r="G69" i="18"/>
  <c r="G72" i="18"/>
  <c r="G75" i="18"/>
  <c r="G77" i="18"/>
  <c r="G89" i="18"/>
  <c r="G90" i="18"/>
  <c r="G96" i="18"/>
  <c r="G97" i="18"/>
  <c r="G98" i="18"/>
  <c r="G104" i="18"/>
  <c r="G114" i="18"/>
  <c r="G115" i="18"/>
  <c r="G120" i="18"/>
  <c r="G124" i="18"/>
  <c r="G127" i="18"/>
  <c r="G128" i="18"/>
  <c r="G135" i="18"/>
  <c r="G146" i="18"/>
  <c r="G153" i="18"/>
  <c r="G13" i="19"/>
  <c r="I26" i="19"/>
  <c r="G29" i="19"/>
  <c r="D8" i="20"/>
  <c r="D10" i="20"/>
  <c r="D32" i="20"/>
  <c r="D48" i="20"/>
  <c r="D53" i="20"/>
  <c r="D56" i="20"/>
  <c r="H8" i="16"/>
  <c r="D13" i="16"/>
  <c r="I6" i="17"/>
  <c r="I15" i="17"/>
  <c r="G35" i="17"/>
  <c r="D11" i="17"/>
  <c r="G9" i="18"/>
  <c r="G15" i="18"/>
  <c r="G17" i="18"/>
  <c r="G30" i="18"/>
  <c r="G33" i="18"/>
  <c r="G39" i="18"/>
  <c r="G49" i="18"/>
  <c r="G51" i="18"/>
  <c r="G56" i="18"/>
  <c r="G58" i="18"/>
  <c r="G73" i="18"/>
  <c r="G78" i="18"/>
  <c r="G80" i="18"/>
  <c r="G82" i="18"/>
  <c r="G84" i="18"/>
  <c r="G88" i="18"/>
  <c r="G92" i="18"/>
  <c r="G94" i="18"/>
  <c r="G99" i="18"/>
  <c r="G108" i="18"/>
  <c r="G109" i="18"/>
  <c r="G116" i="18"/>
  <c r="G117" i="18"/>
  <c r="G122" i="18"/>
  <c r="G125" i="18"/>
  <c r="G126" i="18"/>
  <c r="G133" i="18"/>
  <c r="I21" i="19"/>
  <c r="I23" i="19"/>
  <c r="J32" i="19"/>
  <c r="L32" i="19" s="1"/>
  <c r="D15" i="20"/>
  <c r="D25" i="20"/>
  <c r="D46" i="20"/>
  <c r="I17" i="20"/>
  <c r="H7" i="20"/>
  <c r="D12" i="20"/>
  <c r="H14" i="20"/>
  <c r="D20" i="20"/>
  <c r="D22" i="20"/>
  <c r="H24" i="20"/>
  <c r="D30" i="20"/>
  <c r="D52" i="20"/>
  <c r="D62" i="20"/>
  <c r="G5" i="20"/>
  <c r="D7" i="20"/>
  <c r="I7" i="20"/>
  <c r="G8" i="20"/>
  <c r="D9" i="20"/>
  <c r="G10" i="20"/>
  <c r="H11" i="20"/>
  <c r="D14" i="20"/>
  <c r="I14" i="20"/>
  <c r="G15" i="20"/>
  <c r="D16" i="20"/>
  <c r="G18" i="20"/>
  <c r="D19" i="20"/>
  <c r="D24" i="20"/>
  <c r="I24" i="20"/>
  <c r="G25" i="20"/>
  <c r="D26" i="20"/>
  <c r="D31" i="20"/>
  <c r="G32" i="20"/>
  <c r="D33" i="20"/>
  <c r="G34" i="20"/>
  <c r="D35" i="20"/>
  <c r="D37" i="20"/>
  <c r="G38" i="20"/>
  <c r="G46" i="20"/>
  <c r="D47" i="20"/>
  <c r="G48" i="20"/>
  <c r="D49" i="20"/>
  <c r="G53" i="20"/>
  <c r="D54" i="20"/>
  <c r="G56" i="20"/>
  <c r="D57" i="20"/>
  <c r="G58" i="20"/>
  <c r="G59" i="20"/>
  <c r="G61" i="20"/>
  <c r="D36" i="20"/>
  <c r="D50" i="20"/>
  <c r="D55" i="20"/>
  <c r="G63" i="20"/>
  <c r="D11" i="20"/>
  <c r="G12" i="20"/>
  <c r="D13" i="20"/>
  <c r="G17" i="20"/>
  <c r="G20" i="20"/>
  <c r="D21" i="20"/>
  <c r="G22" i="20"/>
  <c r="D23" i="20"/>
  <c r="G27" i="20"/>
  <c r="D28" i="20"/>
  <c r="G30" i="20"/>
  <c r="G36" i="20"/>
  <c r="B45" i="20"/>
  <c r="G45" i="20"/>
  <c r="G50" i="20"/>
  <c r="D51" i="20"/>
  <c r="G52" i="20"/>
  <c r="G55" i="20"/>
  <c r="H8" i="19"/>
  <c r="G8" i="19"/>
  <c r="D30" i="19"/>
  <c r="D26" i="19"/>
  <c r="D21" i="19"/>
  <c r="D19" i="19"/>
  <c r="D15" i="19"/>
  <c r="D13" i="19"/>
  <c r="D9" i="19"/>
  <c r="I8" i="19"/>
  <c r="D16" i="19"/>
  <c r="O16" i="19"/>
  <c r="D20" i="19"/>
  <c r="O20" i="19"/>
  <c r="G22" i="19"/>
  <c r="D24" i="19"/>
  <c r="H30" i="19"/>
  <c r="G30" i="19"/>
  <c r="O30" i="19"/>
  <c r="D34" i="19"/>
  <c r="H12" i="19"/>
  <c r="G12" i="19"/>
  <c r="H26" i="19"/>
  <c r="G26" i="19"/>
  <c r="D10" i="19"/>
  <c r="O10" i="19"/>
  <c r="D14" i="19"/>
  <c r="M14" i="19"/>
  <c r="H16" i="19"/>
  <c r="G16" i="19"/>
  <c r="D18" i="19"/>
  <c r="M18" i="19"/>
  <c r="H20" i="19"/>
  <c r="G20" i="19"/>
  <c r="H24" i="19"/>
  <c r="G24" i="19"/>
  <c r="O24" i="19"/>
  <c r="I30" i="19"/>
  <c r="D31" i="19"/>
  <c r="O22" i="19"/>
  <c r="O26" i="19"/>
  <c r="M32" i="19"/>
  <c r="O33" i="19"/>
  <c r="D8" i="19"/>
  <c r="O8" i="19"/>
  <c r="M7" i="19"/>
  <c r="H10" i="19"/>
  <c r="G10" i="19"/>
  <c r="D12" i="19"/>
  <c r="O12" i="19"/>
  <c r="M11" i="19"/>
  <c r="H14" i="19"/>
  <c r="G14" i="19"/>
  <c r="H18" i="19"/>
  <c r="G18" i="19"/>
  <c r="I24" i="19"/>
  <c r="O28" i="19"/>
  <c r="M27" i="19"/>
  <c r="M25" i="19" s="1"/>
  <c r="G32" i="19"/>
  <c r="D33" i="19"/>
  <c r="D23" i="19"/>
  <c r="B28" i="19"/>
  <c r="J28" i="19"/>
  <c r="H29" i="19"/>
  <c r="H31" i="19"/>
  <c r="H34" i="19"/>
  <c r="I9" i="19"/>
  <c r="I13" i="19"/>
  <c r="I15" i="19"/>
  <c r="I19" i="19"/>
  <c r="B7" i="19"/>
  <c r="J7" i="19"/>
  <c r="B11" i="19"/>
  <c r="J11" i="19"/>
  <c r="J17" i="19"/>
  <c r="I89" i="18"/>
  <c r="D89" i="18"/>
  <c r="H89" i="18"/>
  <c r="D133" i="18"/>
  <c r="D122" i="18"/>
  <c r="D119" i="18"/>
  <c r="D95" i="18"/>
  <c r="D153" i="18"/>
  <c r="D135" i="18"/>
  <c r="D124" i="18"/>
  <c r="D115" i="18"/>
  <c r="D114" i="18"/>
  <c r="D101" i="18"/>
  <c r="D100" i="18"/>
  <c r="D134" i="18"/>
  <c r="D123" i="18"/>
  <c r="D113" i="18"/>
  <c r="D110" i="18"/>
  <c r="D107" i="18"/>
  <c r="D104" i="18"/>
  <c r="D99" i="18"/>
  <c r="D112" i="18"/>
  <c r="D109" i="18"/>
  <c r="D103" i="18"/>
  <c r="D94" i="18"/>
  <c r="D90" i="18"/>
  <c r="D87" i="18"/>
  <c r="D83" i="18"/>
  <c r="D79" i="18"/>
  <c r="D75" i="18"/>
  <c r="D70" i="18"/>
  <c r="D68" i="18"/>
  <c r="D45" i="18"/>
  <c r="D43" i="18"/>
  <c r="D41" i="18"/>
  <c r="D36" i="18"/>
  <c r="D137" i="18"/>
  <c r="D93" i="18"/>
  <c r="D82" i="18"/>
  <c r="D78" i="18"/>
  <c r="D74" i="18"/>
  <c r="D73" i="18"/>
  <c r="D58" i="18"/>
  <c r="D56" i="18"/>
  <c r="D55" i="18"/>
  <c r="D53" i="18"/>
  <c r="D51" i="18"/>
  <c r="D49" i="18"/>
  <c r="D47" i="18"/>
  <c r="D120" i="18"/>
  <c r="D106" i="18"/>
  <c r="D98" i="18"/>
  <c r="D92" i="18"/>
  <c r="D81" i="18"/>
  <c r="D77" i="18"/>
  <c r="D69" i="18"/>
  <c r="D67" i="18"/>
  <c r="D64" i="18"/>
  <c r="D46" i="18"/>
  <c r="D42" i="18"/>
  <c r="D40" i="18"/>
  <c r="D39" i="18"/>
  <c r="D6" i="18"/>
  <c r="D10" i="18"/>
  <c r="D12" i="18"/>
  <c r="D14" i="18"/>
  <c r="H16" i="18"/>
  <c r="D25" i="18"/>
  <c r="D27" i="18"/>
  <c r="D32" i="18"/>
  <c r="I32" i="18"/>
  <c r="I37" i="18"/>
  <c r="D37" i="18"/>
  <c r="H37" i="18"/>
  <c r="D50" i="18"/>
  <c r="D57" i="18"/>
  <c r="D80" i="18"/>
  <c r="D86" i="18"/>
  <c r="D88" i="18"/>
  <c r="D117" i="18"/>
  <c r="I128" i="18"/>
  <c r="D128" i="18"/>
  <c r="B127" i="18"/>
  <c r="H128" i="18"/>
  <c r="L143" i="18"/>
  <c r="J147" i="18"/>
  <c r="H5" i="18"/>
  <c r="D8" i="18"/>
  <c r="D9" i="18"/>
  <c r="D16" i="18"/>
  <c r="D18" i="18"/>
  <c r="D20" i="18"/>
  <c r="D22" i="18"/>
  <c r="D24" i="18"/>
  <c r="D28" i="18"/>
  <c r="D38" i="18"/>
  <c r="I60" i="18"/>
  <c r="D60" i="18"/>
  <c r="H60" i="18"/>
  <c r="B59" i="18"/>
  <c r="B141" i="18"/>
  <c r="I62" i="18"/>
  <c r="D62" i="18"/>
  <c r="H62" i="18"/>
  <c r="D5" i="18"/>
  <c r="D11" i="18"/>
  <c r="D13" i="18"/>
  <c r="D15" i="18"/>
  <c r="D26" i="18"/>
  <c r="D29" i="18"/>
  <c r="D33" i="18"/>
  <c r="D52" i="18"/>
  <c r="D54" i="18"/>
  <c r="D61" i="18"/>
  <c r="D63" i="18"/>
  <c r="D72" i="18"/>
  <c r="D76" i="18"/>
  <c r="D44" i="18"/>
  <c r="I130" i="18"/>
  <c r="D130" i="18"/>
  <c r="B129" i="18"/>
  <c r="H130" i="18"/>
  <c r="H140" i="18"/>
  <c r="D140" i="18"/>
  <c r="D143" i="18"/>
  <c r="D146" i="18"/>
  <c r="H66" i="18"/>
  <c r="I118" i="18"/>
  <c r="D118" i="18"/>
  <c r="H118" i="18"/>
  <c r="I132" i="18"/>
  <c r="D132" i="18"/>
  <c r="B131" i="18"/>
  <c r="H132" i="18"/>
  <c r="I140" i="18"/>
  <c r="D66" i="18"/>
  <c r="B71" i="18"/>
  <c r="B84" i="18"/>
  <c r="D85" i="18"/>
  <c r="I121" i="18"/>
  <c r="D121" i="18"/>
  <c r="H121" i="18"/>
  <c r="I126" i="18"/>
  <c r="D126" i="18"/>
  <c r="B125" i="18"/>
  <c r="H126" i="18"/>
  <c r="D142" i="18"/>
  <c r="H146" i="18"/>
  <c r="I142" i="18"/>
  <c r="G143" i="18"/>
  <c r="M145" i="18"/>
  <c r="I146" i="18"/>
  <c r="H97" i="18"/>
  <c r="H102" i="18"/>
  <c r="H105" i="18"/>
  <c r="H108" i="18"/>
  <c r="H116" i="18"/>
  <c r="H143" i="18"/>
  <c r="E145" i="18"/>
  <c r="J145" i="18"/>
  <c r="B96" i="18"/>
  <c r="D97" i="18"/>
  <c r="D102" i="18"/>
  <c r="D105" i="18"/>
  <c r="D108" i="18"/>
  <c r="D116" i="18"/>
  <c r="E138" i="18"/>
  <c r="M138" i="18"/>
  <c r="G141" i="18"/>
  <c r="O141" i="18"/>
  <c r="O18" i="17"/>
  <c r="D10" i="17"/>
  <c r="G14" i="17"/>
  <c r="H14" i="17"/>
  <c r="G24" i="17"/>
  <c r="I24" i="17"/>
  <c r="H24" i="17"/>
  <c r="D5" i="17"/>
  <c r="J36" i="17"/>
  <c r="K16" i="17" s="1"/>
  <c r="L5" i="17"/>
  <c r="K5" i="17"/>
  <c r="L6" i="17"/>
  <c r="I7" i="17"/>
  <c r="G8" i="17"/>
  <c r="I8" i="17"/>
  <c r="H8" i="17"/>
  <c r="I10" i="17"/>
  <c r="I12" i="17"/>
  <c r="I14" i="17"/>
  <c r="H15" i="17"/>
  <c r="D15" i="17"/>
  <c r="L16" i="17"/>
  <c r="D18" i="17"/>
  <c r="L19" i="17"/>
  <c r="K19" i="17"/>
  <c r="H27" i="17"/>
  <c r="D27" i="17"/>
  <c r="G28" i="17"/>
  <c r="I28" i="17"/>
  <c r="H28" i="17"/>
  <c r="G6" i="17"/>
  <c r="E36" i="17"/>
  <c r="F22" i="17" s="1"/>
  <c r="H6" i="17"/>
  <c r="F6" i="17"/>
  <c r="H17" i="17"/>
  <c r="D17" i="17"/>
  <c r="H35" i="17"/>
  <c r="D35" i="17"/>
  <c r="D32" i="17"/>
  <c r="D28" i="17"/>
  <c r="D24" i="17"/>
  <c r="D20" i="17"/>
  <c r="D16" i="17"/>
  <c r="D8" i="17"/>
  <c r="D34" i="17"/>
  <c r="D30" i="17"/>
  <c r="D26" i="17"/>
  <c r="D22" i="17"/>
  <c r="H7" i="17"/>
  <c r="D7" i="17"/>
  <c r="K7" i="17"/>
  <c r="L8" i="17"/>
  <c r="H23" i="17"/>
  <c r="D23" i="17"/>
  <c r="D6" i="17"/>
  <c r="H9" i="17"/>
  <c r="D9" i="17"/>
  <c r="O10" i="17"/>
  <c r="D12" i="17"/>
  <c r="L13" i="17"/>
  <c r="K13" i="17"/>
  <c r="L14" i="17"/>
  <c r="G16" i="17"/>
  <c r="I16" i="17"/>
  <c r="H16" i="17"/>
  <c r="D19" i="17"/>
  <c r="G20" i="17"/>
  <c r="F20" i="17"/>
  <c r="I20" i="17"/>
  <c r="O20" i="17"/>
  <c r="H31" i="17"/>
  <c r="D31" i="17"/>
  <c r="G32" i="17"/>
  <c r="F32" i="17"/>
  <c r="I32" i="17"/>
  <c r="H32" i="17"/>
  <c r="O24" i="17"/>
  <c r="K26" i="17"/>
  <c r="O28" i="17"/>
  <c r="K30" i="17"/>
  <c r="O32" i="17"/>
  <c r="K34" i="17"/>
  <c r="B36" i="17"/>
  <c r="C7" i="17" s="1"/>
  <c r="G7" i="17"/>
  <c r="I11" i="17"/>
  <c r="G12" i="17"/>
  <c r="G15" i="17"/>
  <c r="I19" i="17"/>
  <c r="D21" i="17"/>
  <c r="H21" i="17"/>
  <c r="G21" i="17"/>
  <c r="G22" i="17"/>
  <c r="I23" i="17"/>
  <c r="K23" i="17"/>
  <c r="H25" i="17"/>
  <c r="D25" i="17"/>
  <c r="G25" i="17"/>
  <c r="G26" i="17"/>
  <c r="I27" i="17"/>
  <c r="H29" i="17"/>
  <c r="D29" i="17"/>
  <c r="G29" i="17"/>
  <c r="G30" i="17"/>
  <c r="F30" i="17"/>
  <c r="I31" i="17"/>
  <c r="K31" i="17"/>
  <c r="H33" i="17"/>
  <c r="D33" i="17"/>
  <c r="G33" i="17"/>
  <c r="G34" i="17"/>
  <c r="I35" i="17"/>
  <c r="K35" i="17"/>
  <c r="I9" i="17"/>
  <c r="G10" i="17"/>
  <c r="K10" i="17"/>
  <c r="I17" i="17"/>
  <c r="G18" i="17"/>
  <c r="K20" i="17"/>
  <c r="O22" i="17"/>
  <c r="O26" i="17"/>
  <c r="N26" i="17"/>
  <c r="K28" i="17"/>
  <c r="O30" i="17"/>
  <c r="K32" i="17"/>
  <c r="O34" i="17"/>
  <c r="N34" i="17"/>
  <c r="M36" i="17"/>
  <c r="N18" i="17" s="1"/>
  <c r="K6" i="13"/>
  <c r="C7" i="13"/>
  <c r="K9" i="13"/>
  <c r="C10" i="13"/>
  <c r="K11" i="13"/>
  <c r="C12" i="13"/>
  <c r="K13" i="13"/>
  <c r="C14" i="13"/>
  <c r="K15" i="13"/>
  <c r="C16" i="13"/>
  <c r="K17" i="13"/>
  <c r="C18" i="13"/>
  <c r="K19" i="13"/>
  <c r="F20" i="13"/>
  <c r="N20" i="13"/>
  <c r="D21" i="13"/>
  <c r="L21" i="13"/>
  <c r="C5" i="13"/>
  <c r="I20" i="13"/>
  <c r="C21" i="13"/>
  <c r="K21" i="13"/>
  <c r="K5" i="13"/>
  <c r="C6" i="13"/>
  <c r="C8" i="13"/>
  <c r="K13" i="16"/>
  <c r="K11" i="16"/>
  <c r="K9" i="16"/>
  <c r="L15" i="16"/>
  <c r="K15" i="16"/>
  <c r="K7" i="16"/>
  <c r="C15" i="16"/>
  <c r="C11" i="16"/>
  <c r="C5" i="16"/>
  <c r="D15" i="16"/>
  <c r="C13" i="16"/>
  <c r="C9" i="16"/>
  <c r="C7" i="16"/>
  <c r="O5" i="16"/>
  <c r="O7" i="16"/>
  <c r="O9" i="16"/>
  <c r="I10" i="16"/>
  <c r="O11" i="16"/>
  <c r="I12" i="16"/>
  <c r="I14" i="16"/>
  <c r="D5" i="16"/>
  <c r="D7" i="16"/>
  <c r="D9" i="16"/>
  <c r="C6" i="16"/>
  <c r="G6" i="16"/>
  <c r="K6" i="16"/>
  <c r="O6" i="16"/>
  <c r="I7" i="16"/>
  <c r="C8" i="16"/>
  <c r="G8" i="16"/>
  <c r="K8" i="16"/>
  <c r="O8" i="16"/>
  <c r="I9" i="16"/>
  <c r="C10" i="16"/>
  <c r="G10" i="16"/>
  <c r="K10" i="16"/>
  <c r="I11" i="16"/>
  <c r="C12" i="16"/>
  <c r="G12" i="16"/>
  <c r="K12" i="16"/>
  <c r="O12" i="16"/>
  <c r="I13" i="16"/>
  <c r="C14" i="16"/>
  <c r="G14" i="16"/>
  <c r="K14" i="16"/>
  <c r="E15" i="16"/>
  <c r="M15" i="16"/>
  <c r="I6" i="16"/>
  <c r="I8" i="16"/>
  <c r="D11" i="16"/>
  <c r="K111" i="18" l="1"/>
  <c r="I29" i="20"/>
  <c r="H27" i="20"/>
  <c r="D29" i="20"/>
  <c r="H29" i="20"/>
  <c r="D27" i="20"/>
  <c r="D17" i="20"/>
  <c r="B6" i="20"/>
  <c r="I6" i="20" s="1"/>
  <c r="N142" i="18"/>
  <c r="O147" i="18"/>
  <c r="K104" i="18"/>
  <c r="K98" i="18"/>
  <c r="K125" i="18"/>
  <c r="D65" i="18"/>
  <c r="B138" i="18"/>
  <c r="C109" i="18" s="1"/>
  <c r="H139" i="18"/>
  <c r="I139" i="18"/>
  <c r="B145" i="18"/>
  <c r="D145" i="18" s="1"/>
  <c r="K127" i="18"/>
  <c r="K121" i="18"/>
  <c r="K110" i="18"/>
  <c r="K137" i="18"/>
  <c r="K123" i="18"/>
  <c r="K130" i="18"/>
  <c r="K103" i="18"/>
  <c r="K107" i="18"/>
  <c r="K112" i="18"/>
  <c r="K96" i="18"/>
  <c r="K134" i="18"/>
  <c r="K132" i="18"/>
  <c r="K146" i="18"/>
  <c r="K139" i="18"/>
  <c r="K106" i="18"/>
  <c r="K117" i="18"/>
  <c r="K129" i="18"/>
  <c r="K99" i="18"/>
  <c r="K113" i="18"/>
  <c r="J144" i="18"/>
  <c r="K144" i="18" s="1"/>
  <c r="K124" i="18"/>
  <c r="K135" i="18"/>
  <c r="D31" i="18"/>
  <c r="H31" i="18"/>
  <c r="K122" i="18"/>
  <c r="K142" i="18"/>
  <c r="K133" i="18"/>
  <c r="K109" i="18"/>
  <c r="K120" i="18"/>
  <c r="K131" i="18"/>
  <c r="K100" i="18"/>
  <c r="K115" i="18"/>
  <c r="K94" i="18"/>
  <c r="K126" i="18"/>
  <c r="H111" i="18"/>
  <c r="D111" i="18"/>
  <c r="N22" i="17"/>
  <c r="F26" i="17"/>
  <c r="F34" i="17"/>
  <c r="N14" i="16"/>
  <c r="N5" i="16"/>
  <c r="F13" i="16"/>
  <c r="F5" i="16"/>
  <c r="H32" i="19"/>
  <c r="K138" i="18"/>
  <c r="K101" i="18"/>
  <c r="K114" i="18"/>
  <c r="L138" i="18"/>
  <c r="K118" i="18"/>
  <c r="N139" i="18"/>
  <c r="K108" i="18"/>
  <c r="K105" i="18"/>
  <c r="K102" i="18"/>
  <c r="K95" i="18"/>
  <c r="K90" i="18"/>
  <c r="K81" i="18"/>
  <c r="K77" i="18"/>
  <c r="K73" i="18"/>
  <c r="K72" i="18"/>
  <c r="K70" i="18"/>
  <c r="K69" i="18"/>
  <c r="K66" i="18"/>
  <c r="K65" i="18"/>
  <c r="K56" i="18"/>
  <c r="K52" i="18"/>
  <c r="K47" i="18"/>
  <c r="K44" i="18"/>
  <c r="K40" i="18"/>
  <c r="K35" i="18"/>
  <c r="K31" i="18"/>
  <c r="K30" i="18"/>
  <c r="K29" i="18"/>
  <c r="K26" i="18"/>
  <c r="K22" i="18"/>
  <c r="K21" i="18"/>
  <c r="K18" i="18"/>
  <c r="K17" i="18"/>
  <c r="K13" i="18"/>
  <c r="K5" i="18"/>
  <c r="K60" i="18"/>
  <c r="K48" i="18"/>
  <c r="K45" i="18"/>
  <c r="K41" i="18"/>
  <c r="K36" i="18"/>
  <c r="K32" i="18"/>
  <c r="K14" i="18"/>
  <c r="K10" i="18"/>
  <c r="K7" i="18"/>
  <c r="K93" i="18"/>
  <c r="K89" i="18"/>
  <c r="K88" i="18"/>
  <c r="K80" i="18"/>
  <c r="K76" i="18"/>
  <c r="K75" i="18"/>
  <c r="K71" i="18"/>
  <c r="K68" i="18"/>
  <c r="K64" i="18"/>
  <c r="K55" i="18"/>
  <c r="K54" i="18"/>
  <c r="K51" i="18"/>
  <c r="K50" i="18"/>
  <c r="K46" i="18"/>
  <c r="K43" i="18"/>
  <c r="K25" i="18"/>
  <c r="K20" i="18"/>
  <c r="K12" i="18"/>
  <c r="K9" i="18"/>
  <c r="K119" i="18"/>
  <c r="K97" i="18"/>
  <c r="K92" i="18"/>
  <c r="K87" i="18"/>
  <c r="K85" i="18"/>
  <c r="K83" i="18"/>
  <c r="K79" i="18"/>
  <c r="K74" i="18"/>
  <c r="K63" i="18"/>
  <c r="K62" i="18"/>
  <c r="K61" i="18"/>
  <c r="K49" i="18"/>
  <c r="K42" i="18"/>
  <c r="K39" i="18"/>
  <c r="K38" i="18"/>
  <c r="K34" i="18"/>
  <c r="K33" i="18"/>
  <c r="K28" i="18"/>
  <c r="K24" i="18"/>
  <c r="K19" i="18"/>
  <c r="K16" i="18"/>
  <c r="K15" i="18"/>
  <c r="K11" i="18"/>
  <c r="K8" i="18"/>
  <c r="K6" i="18"/>
  <c r="K116" i="18"/>
  <c r="K91" i="18"/>
  <c r="K86" i="18"/>
  <c r="K84" i="18"/>
  <c r="K82" i="18"/>
  <c r="K78" i="18"/>
  <c r="K67" i="18"/>
  <c r="K59" i="18"/>
  <c r="K58" i="18"/>
  <c r="K57" i="18"/>
  <c r="K53" i="18"/>
  <c r="K37" i="18"/>
  <c r="K27" i="18"/>
  <c r="K23" i="18"/>
  <c r="N146" i="18"/>
  <c r="N13" i="16"/>
  <c r="I22" i="19"/>
  <c r="H28" i="19"/>
  <c r="F6" i="16"/>
  <c r="F14" i="16"/>
  <c r="N10" i="16"/>
  <c r="N6" i="16"/>
  <c r="N8" i="16"/>
  <c r="F24" i="17"/>
  <c r="H22" i="19"/>
  <c r="F12" i="16"/>
  <c r="N7" i="16"/>
  <c r="K24" i="17"/>
  <c r="K18" i="17"/>
  <c r="K27" i="17"/>
  <c r="K12" i="17"/>
  <c r="N28" i="17"/>
  <c r="K22" i="17"/>
  <c r="K14" i="17"/>
  <c r="K8" i="17"/>
  <c r="K6" i="17"/>
  <c r="B17" i="19"/>
  <c r="H17" i="19" s="1"/>
  <c r="G28" i="19"/>
  <c r="C26" i="17"/>
  <c r="C27" i="17"/>
  <c r="C12" i="17"/>
  <c r="C16" i="17"/>
  <c r="N11" i="16"/>
  <c r="C8" i="17"/>
  <c r="N32" i="17"/>
  <c r="N10" i="17"/>
  <c r="C34" i="17"/>
  <c r="C30" i="17"/>
  <c r="F9" i="16"/>
  <c r="C23" i="17"/>
  <c r="C22" i="17"/>
  <c r="C18" i="17"/>
  <c r="D45" i="20"/>
  <c r="I45" i="20"/>
  <c r="H45" i="20"/>
  <c r="B44" i="20"/>
  <c r="C45" i="20" s="1"/>
  <c r="O25" i="19"/>
  <c r="O7" i="19"/>
  <c r="L17" i="19"/>
  <c r="L7" i="19"/>
  <c r="J6" i="19"/>
  <c r="L28" i="19"/>
  <c r="J27" i="19"/>
  <c r="I17" i="19"/>
  <c r="G17" i="19"/>
  <c r="O11" i="19"/>
  <c r="O32" i="19"/>
  <c r="O18" i="19"/>
  <c r="M17" i="19"/>
  <c r="I7" i="19"/>
  <c r="H7" i="19"/>
  <c r="G7" i="19"/>
  <c r="D11" i="19"/>
  <c r="D7" i="19"/>
  <c r="B6" i="19"/>
  <c r="D28" i="19"/>
  <c r="B27" i="19"/>
  <c r="I27" i="19" s="1"/>
  <c r="I28" i="19"/>
  <c r="O14" i="19"/>
  <c r="G27" i="19"/>
  <c r="L11" i="19"/>
  <c r="O27" i="19"/>
  <c r="G25" i="19"/>
  <c r="I11" i="19"/>
  <c r="H11" i="19"/>
  <c r="G11" i="19"/>
  <c r="I96" i="18"/>
  <c r="D96" i="18"/>
  <c r="H96" i="18"/>
  <c r="H127" i="18"/>
  <c r="D127" i="18"/>
  <c r="I127" i="18"/>
  <c r="I84" i="18"/>
  <c r="D84" i="18"/>
  <c r="H84" i="18"/>
  <c r="H131" i="18"/>
  <c r="I131" i="18"/>
  <c r="D131" i="18"/>
  <c r="H129" i="18"/>
  <c r="I129" i="18"/>
  <c r="D129" i="18"/>
  <c r="I59" i="18"/>
  <c r="D59" i="18"/>
  <c r="H59" i="18"/>
  <c r="F135" i="18"/>
  <c r="F132" i="18"/>
  <c r="F130" i="18"/>
  <c r="F128" i="18"/>
  <c r="F126" i="18"/>
  <c r="F124" i="18"/>
  <c r="F121" i="18"/>
  <c r="F118" i="18"/>
  <c r="F115" i="18"/>
  <c r="F114" i="18"/>
  <c r="F111" i="18"/>
  <c r="F101" i="18"/>
  <c r="F100" i="18"/>
  <c r="F134" i="18"/>
  <c r="F123" i="18"/>
  <c r="F113" i="18"/>
  <c r="F110" i="18"/>
  <c r="F107" i="18"/>
  <c r="F104" i="18"/>
  <c r="F99" i="18"/>
  <c r="F96" i="18"/>
  <c r="E144" i="18"/>
  <c r="G138" i="18"/>
  <c r="F137" i="18"/>
  <c r="F131" i="18"/>
  <c r="F129" i="18"/>
  <c r="F127" i="18"/>
  <c r="F125" i="18"/>
  <c r="F120" i="18"/>
  <c r="F117" i="18"/>
  <c r="F112" i="18"/>
  <c r="F109" i="18"/>
  <c r="F106" i="18"/>
  <c r="F103" i="18"/>
  <c r="F98" i="18"/>
  <c r="F122" i="18"/>
  <c r="F116" i="18"/>
  <c r="F93" i="18"/>
  <c r="F89" i="18"/>
  <c r="F82" i="18"/>
  <c r="F78" i="18"/>
  <c r="F74" i="18"/>
  <c r="F73" i="18"/>
  <c r="F62" i="18"/>
  <c r="F60" i="18"/>
  <c r="F58" i="18"/>
  <c r="F56" i="18"/>
  <c r="F55" i="18"/>
  <c r="F53" i="18"/>
  <c r="F51" i="18"/>
  <c r="F49" i="18"/>
  <c r="F47" i="18"/>
  <c r="F37" i="18"/>
  <c r="F133" i="18"/>
  <c r="F119" i="18"/>
  <c r="F108" i="18"/>
  <c r="F102" i="18"/>
  <c r="F95" i="18"/>
  <c r="F92" i="18"/>
  <c r="F84" i="18"/>
  <c r="F81" i="18"/>
  <c r="F77" i="18"/>
  <c r="F71" i="18"/>
  <c r="F69" i="18"/>
  <c r="F67" i="18"/>
  <c r="F64" i="18"/>
  <c r="F46" i="18"/>
  <c r="F44" i="18"/>
  <c r="F42" i="18"/>
  <c r="F40" i="18"/>
  <c r="F39" i="18"/>
  <c r="F91" i="18"/>
  <c r="F88" i="18"/>
  <c r="F86" i="18"/>
  <c r="F80" i="18"/>
  <c r="F76" i="18"/>
  <c r="F72" i="18"/>
  <c r="F65" i="18"/>
  <c r="F63" i="18"/>
  <c r="F61" i="18"/>
  <c r="F57" i="18"/>
  <c r="F54" i="18"/>
  <c r="F52" i="18"/>
  <c r="F50" i="18"/>
  <c r="F48" i="18"/>
  <c r="F38" i="18"/>
  <c r="F85" i="18"/>
  <c r="F31" i="18"/>
  <c r="F28" i="18"/>
  <c r="F24" i="18"/>
  <c r="F22" i="18"/>
  <c r="F20" i="18"/>
  <c r="F18" i="18"/>
  <c r="F16" i="18"/>
  <c r="F9" i="18"/>
  <c r="F45" i="18"/>
  <c r="F33" i="18"/>
  <c r="F29" i="18"/>
  <c r="F26" i="18"/>
  <c r="F11" i="18"/>
  <c r="F5" i="18"/>
  <c r="F147" i="18"/>
  <c r="F87" i="18"/>
  <c r="F79" i="18"/>
  <c r="F68" i="18"/>
  <c r="F41" i="18"/>
  <c r="F36" i="18"/>
  <c r="F32" i="18"/>
  <c r="F27" i="18"/>
  <c r="F25" i="18"/>
  <c r="F14" i="18"/>
  <c r="F12" i="18"/>
  <c r="F10" i="18"/>
  <c r="F6" i="18"/>
  <c r="F75" i="18"/>
  <c r="F13" i="18"/>
  <c r="F138" i="18"/>
  <c r="F97" i="18"/>
  <c r="F90" i="18"/>
  <c r="F83" i="18"/>
  <c r="F70" i="18"/>
  <c r="F66" i="18"/>
  <c r="F59" i="18"/>
  <c r="F43" i="18"/>
  <c r="F35" i="18"/>
  <c r="F34" i="18"/>
  <c r="F30" i="18"/>
  <c r="F23" i="18"/>
  <c r="F21" i="18"/>
  <c r="F19" i="18"/>
  <c r="F17" i="18"/>
  <c r="F7" i="18"/>
  <c r="F105" i="18"/>
  <c r="F94" i="18"/>
  <c r="F15" i="18"/>
  <c r="H125" i="18"/>
  <c r="D125" i="18"/>
  <c r="I125" i="18"/>
  <c r="K145" i="18"/>
  <c r="L145" i="18"/>
  <c r="I141" i="18"/>
  <c r="B147" i="18"/>
  <c r="H141" i="18"/>
  <c r="D141" i="18"/>
  <c r="L147" i="18"/>
  <c r="K147" i="18"/>
  <c r="M144" i="18"/>
  <c r="O138" i="18"/>
  <c r="N72" i="18"/>
  <c r="N65" i="18"/>
  <c r="N57" i="18"/>
  <c r="N54" i="18"/>
  <c r="N52" i="18"/>
  <c r="N50" i="18"/>
  <c r="N48" i="18"/>
  <c r="N38" i="18"/>
  <c r="N138" i="18"/>
  <c r="N68" i="18"/>
  <c r="N66" i="18"/>
  <c r="N63" i="18"/>
  <c r="N59" i="18"/>
  <c r="N45" i="18"/>
  <c r="N41" i="18"/>
  <c r="N36" i="18"/>
  <c r="N70" i="18"/>
  <c r="N62" i="18"/>
  <c r="N60" i="18"/>
  <c r="N56" i="18"/>
  <c r="N53" i="18"/>
  <c r="N49" i="18"/>
  <c r="N47" i="18"/>
  <c r="N37" i="18"/>
  <c r="N69" i="18"/>
  <c r="N64" i="18"/>
  <c r="N42" i="18"/>
  <c r="N35" i="18"/>
  <c r="N23" i="18"/>
  <c r="N21" i="18"/>
  <c r="N19" i="18"/>
  <c r="N17" i="18"/>
  <c r="N7" i="18"/>
  <c r="N71" i="18"/>
  <c r="N51" i="18"/>
  <c r="N40" i="18"/>
  <c r="N22" i="18"/>
  <c r="N18" i="18"/>
  <c r="N14" i="18"/>
  <c r="N44" i="18"/>
  <c r="N33" i="18"/>
  <c r="N30" i="18"/>
  <c r="N26" i="18"/>
  <c r="N15" i="18"/>
  <c r="N11" i="18"/>
  <c r="N5" i="18"/>
  <c r="N67" i="18"/>
  <c r="N25" i="18"/>
  <c r="N10" i="18"/>
  <c r="N6" i="18"/>
  <c r="N31" i="18"/>
  <c r="N28" i="18"/>
  <c r="N140" i="18" s="1"/>
  <c r="N24" i="18"/>
  <c r="N20" i="18"/>
  <c r="N16" i="18"/>
  <c r="N13" i="18"/>
  <c r="N9" i="18"/>
  <c r="N32" i="18"/>
  <c r="N12" i="18"/>
  <c r="G145" i="18"/>
  <c r="F139" i="18"/>
  <c r="O145" i="18"/>
  <c r="N145" i="18"/>
  <c r="I71" i="18"/>
  <c r="D71" i="18"/>
  <c r="H71" i="18"/>
  <c r="N147" i="18"/>
  <c r="O36" i="17"/>
  <c r="N36" i="17"/>
  <c r="N17" i="17"/>
  <c r="N16" i="17"/>
  <c r="N9" i="17"/>
  <c r="N8" i="17"/>
  <c r="N33" i="17"/>
  <c r="N29" i="17"/>
  <c r="N25" i="17"/>
  <c r="N21" i="17"/>
  <c r="N11" i="17"/>
  <c r="N27" i="17"/>
  <c r="N7" i="17"/>
  <c r="N13" i="17"/>
  <c r="N31" i="17"/>
  <c r="N19" i="17"/>
  <c r="N6" i="17"/>
  <c r="N23" i="17"/>
  <c r="N35" i="17"/>
  <c r="N14" i="17"/>
  <c r="N15" i="17"/>
  <c r="N5" i="17"/>
  <c r="N30" i="17"/>
  <c r="C14" i="17"/>
  <c r="C6" i="17"/>
  <c r="C32" i="17"/>
  <c r="C28" i="17"/>
  <c r="C24" i="17"/>
  <c r="C20" i="17"/>
  <c r="C31" i="17"/>
  <c r="N20" i="17"/>
  <c r="K15" i="17"/>
  <c r="C36" i="17"/>
  <c r="C33" i="17"/>
  <c r="C29" i="17"/>
  <c r="C25" i="17"/>
  <c r="C21" i="17"/>
  <c r="C13" i="17"/>
  <c r="C5" i="17"/>
  <c r="D36" i="17"/>
  <c r="C19" i="17"/>
  <c r="C11" i="17"/>
  <c r="C9" i="17"/>
  <c r="N24" i="17"/>
  <c r="C35" i="17"/>
  <c r="G36" i="17"/>
  <c r="F36" i="17"/>
  <c r="F35" i="17"/>
  <c r="F31" i="17"/>
  <c r="F27" i="17"/>
  <c r="F23" i="17"/>
  <c r="F19" i="17"/>
  <c r="F12" i="17"/>
  <c r="F11" i="17"/>
  <c r="F13" i="17"/>
  <c r="F5" i="17"/>
  <c r="I36" i="17"/>
  <c r="F33" i="17"/>
  <c r="F29" i="17"/>
  <c r="F25" i="17"/>
  <c r="F21" i="17"/>
  <c r="H36" i="17"/>
  <c r="F17" i="17"/>
  <c r="F10" i="17"/>
  <c r="F8" i="17"/>
  <c r="F7" i="17"/>
  <c r="F18" i="17"/>
  <c r="F9" i="17"/>
  <c r="F16" i="17"/>
  <c r="F15" i="17"/>
  <c r="F28" i="17"/>
  <c r="C15" i="17"/>
  <c r="N12" i="17"/>
  <c r="K36" i="17"/>
  <c r="K11" i="17"/>
  <c r="L36" i="17"/>
  <c r="K21" i="17"/>
  <c r="K25" i="17"/>
  <c r="K33" i="17"/>
  <c r="K17" i="17"/>
  <c r="K29" i="17"/>
  <c r="K9" i="17"/>
  <c r="F14" i="17"/>
  <c r="C10" i="17"/>
  <c r="C17" i="17"/>
  <c r="F8" i="16"/>
  <c r="N15" i="16"/>
  <c r="O15" i="16"/>
  <c r="F10" i="16"/>
  <c r="F11" i="16"/>
  <c r="N9" i="16"/>
  <c r="F15" i="16"/>
  <c r="H15" i="16"/>
  <c r="G15" i="16"/>
  <c r="I15" i="16"/>
  <c r="F7" i="16"/>
  <c r="N12" i="16"/>
  <c r="H6" i="20" l="1"/>
  <c r="D6" i="20"/>
  <c r="B5" i="20"/>
  <c r="C6" i="20" s="1"/>
  <c r="H145" i="18"/>
  <c r="I145" i="18"/>
  <c r="C24" i="18"/>
  <c r="C99" i="18"/>
  <c r="C77" i="18"/>
  <c r="C98" i="18"/>
  <c r="C65" i="18"/>
  <c r="C73" i="18"/>
  <c r="I138" i="18"/>
  <c r="C112" i="18"/>
  <c r="C87" i="18"/>
  <c r="C37" i="18"/>
  <c r="C130" i="18"/>
  <c r="C44" i="18"/>
  <c r="C21" i="18"/>
  <c r="C93" i="18"/>
  <c r="C38" i="18"/>
  <c r="C101" i="18"/>
  <c r="C117" i="18"/>
  <c r="C31" i="18"/>
  <c r="C25" i="18"/>
  <c r="C27" i="18"/>
  <c r="C92" i="18"/>
  <c r="C43" i="18"/>
  <c r="C57" i="18"/>
  <c r="C135" i="18"/>
  <c r="C137" i="18"/>
  <c r="C60" i="18"/>
  <c r="C9" i="18"/>
  <c r="C26" i="18"/>
  <c r="C53" i="18"/>
  <c r="C75" i="18"/>
  <c r="C80" i="18"/>
  <c r="C122" i="18"/>
  <c r="C59" i="18"/>
  <c r="C121" i="18"/>
  <c r="C116" i="18"/>
  <c r="C66" i="18"/>
  <c r="C118" i="18"/>
  <c r="C126" i="18"/>
  <c r="C128" i="18"/>
  <c r="C108" i="18"/>
  <c r="C5" i="18"/>
  <c r="C32" i="18"/>
  <c r="C18" i="18"/>
  <c r="C28" i="18"/>
  <c r="C64" i="18"/>
  <c r="C11" i="18"/>
  <c r="C33" i="18"/>
  <c r="C113" i="18"/>
  <c r="C30" i="18"/>
  <c r="C47" i="18"/>
  <c r="C55" i="18"/>
  <c r="C74" i="18"/>
  <c r="C104" i="18"/>
  <c r="C45" i="18"/>
  <c r="C79" i="18"/>
  <c r="C90" i="18"/>
  <c r="C48" i="18"/>
  <c r="C61" i="18"/>
  <c r="C86" i="18"/>
  <c r="C107" i="18"/>
  <c r="C114" i="18"/>
  <c r="C138" i="18"/>
  <c r="C133" i="18"/>
  <c r="C103" i="18"/>
  <c r="C120" i="18"/>
  <c r="C71" i="18"/>
  <c r="C125" i="18"/>
  <c r="H138" i="18"/>
  <c r="C84" i="18"/>
  <c r="C96" i="18"/>
  <c r="C139" i="18"/>
  <c r="C105" i="18"/>
  <c r="C19" i="18"/>
  <c r="C23" i="18"/>
  <c r="C72" i="18"/>
  <c r="C111" i="18"/>
  <c r="C102" i="18"/>
  <c r="C10" i="18"/>
  <c r="C81" i="18"/>
  <c r="C20" i="18"/>
  <c r="C36" i="18"/>
  <c r="C69" i="18"/>
  <c r="C13" i="18"/>
  <c r="C40" i="18"/>
  <c r="C6" i="18"/>
  <c r="C35" i="18"/>
  <c r="C49" i="18"/>
  <c r="C56" i="18"/>
  <c r="C78" i="18"/>
  <c r="C110" i="18"/>
  <c r="C68" i="18"/>
  <c r="C83" i="18"/>
  <c r="C94" i="18"/>
  <c r="C50" i="18"/>
  <c r="C63" i="18"/>
  <c r="C88" i="18"/>
  <c r="C123" i="18"/>
  <c r="C115" i="18"/>
  <c r="C95" i="18"/>
  <c r="D138" i="18"/>
  <c r="C106" i="18"/>
  <c r="C129" i="18"/>
  <c r="C131" i="18"/>
  <c r="C127" i="18"/>
  <c r="C89" i="18"/>
  <c r="C97" i="18"/>
  <c r="C7" i="18"/>
  <c r="C62" i="18"/>
  <c r="C52" i="18"/>
  <c r="C16" i="18"/>
  <c r="C132" i="18"/>
  <c r="C14" i="18"/>
  <c r="C8" i="18"/>
  <c r="C22" i="18"/>
  <c r="C42" i="18"/>
  <c r="C12" i="18"/>
  <c r="C15" i="18"/>
  <c r="C67" i="18"/>
  <c r="C17" i="18"/>
  <c r="C46" i="18"/>
  <c r="C51" i="18"/>
  <c r="C58" i="18"/>
  <c r="C82" i="18"/>
  <c r="C41" i="18"/>
  <c r="C70" i="18"/>
  <c r="C85" i="18"/>
  <c r="C134" i="18"/>
  <c r="C54" i="18"/>
  <c r="C76" i="18"/>
  <c r="C91" i="18"/>
  <c r="C100" i="18"/>
  <c r="C124" i="18"/>
  <c r="C119" i="18"/>
  <c r="B144" i="18"/>
  <c r="C144" i="18" s="1"/>
  <c r="L144" i="18"/>
  <c r="K143" i="18"/>
  <c r="D17" i="19"/>
  <c r="H27" i="19"/>
  <c r="K141" i="18"/>
  <c r="F140" i="18"/>
  <c r="K140" i="18"/>
  <c r="C38" i="20"/>
  <c r="C34" i="20"/>
  <c r="C7" i="20"/>
  <c r="C27" i="20"/>
  <c r="C58" i="20"/>
  <c r="C48" i="20"/>
  <c r="C47" i="20"/>
  <c r="H44" i="20"/>
  <c r="C62" i="20"/>
  <c r="C55" i="20"/>
  <c r="C52" i="20"/>
  <c r="C50" i="20"/>
  <c r="C63" i="20"/>
  <c r="C51" i="20"/>
  <c r="I44" i="20"/>
  <c r="D44" i="20"/>
  <c r="C57" i="20"/>
  <c r="C54" i="20"/>
  <c r="C49" i="20"/>
  <c r="C44" i="20"/>
  <c r="C46" i="20"/>
  <c r="C53" i="20"/>
  <c r="C56" i="20"/>
  <c r="O17" i="19"/>
  <c r="H6" i="19"/>
  <c r="G6" i="19"/>
  <c r="F6" i="19"/>
  <c r="I6" i="19"/>
  <c r="B25" i="19"/>
  <c r="D27" i="19"/>
  <c r="D6" i="19"/>
  <c r="J25" i="19"/>
  <c r="J5" i="19" s="1"/>
  <c r="K6" i="19" s="1"/>
  <c r="L27" i="19"/>
  <c r="L6" i="19"/>
  <c r="M6" i="19"/>
  <c r="F141" i="18"/>
  <c r="N143" i="18"/>
  <c r="F143" i="18"/>
  <c r="D147" i="18"/>
  <c r="C147" i="18"/>
  <c r="I147" i="18"/>
  <c r="H147" i="18"/>
  <c r="N141" i="18"/>
  <c r="O144" i="18"/>
  <c r="N144" i="18"/>
  <c r="G144" i="18"/>
  <c r="F144" i="18"/>
  <c r="C28" i="20" l="1"/>
  <c r="I5" i="20"/>
  <c r="C20" i="20"/>
  <c r="C37" i="20"/>
  <c r="C30" i="20"/>
  <c r="C5" i="20"/>
  <c r="C9" i="20"/>
  <c r="C17" i="20"/>
  <c r="C35" i="20"/>
  <c r="C10" i="20"/>
  <c r="C14" i="20"/>
  <c r="C13" i="20"/>
  <c r="C19" i="20"/>
  <c r="C15" i="20"/>
  <c r="C24" i="20"/>
  <c r="C32" i="20"/>
  <c r="D5" i="20"/>
  <c r="C16" i="20"/>
  <c r="C21" i="20"/>
  <c r="C22" i="20"/>
  <c r="C26" i="20"/>
  <c r="H5" i="20"/>
  <c r="C18" i="20"/>
  <c r="C11" i="20"/>
  <c r="C29" i="20"/>
  <c r="C12" i="20"/>
  <c r="C31" i="20"/>
  <c r="C23" i="20"/>
  <c r="C36" i="20"/>
  <c r="C33" i="20"/>
  <c r="C8" i="20"/>
  <c r="C25" i="20"/>
  <c r="C143" i="18"/>
  <c r="H144" i="18"/>
  <c r="I144" i="18"/>
  <c r="D144" i="18"/>
  <c r="C141" i="18"/>
  <c r="C140" i="18"/>
  <c r="K27" i="19"/>
  <c r="D25" i="19"/>
  <c r="H25" i="19"/>
  <c r="I25" i="19"/>
  <c r="K31" i="19"/>
  <c r="K5" i="19"/>
  <c r="K21" i="19"/>
  <c r="K23" i="19"/>
  <c r="K13" i="19"/>
  <c r="K9" i="19"/>
  <c r="L5" i="19"/>
  <c r="K29" i="19"/>
  <c r="K19" i="19"/>
  <c r="K15" i="19"/>
  <c r="K26" i="19"/>
  <c r="K12" i="19"/>
  <c r="K18" i="19"/>
  <c r="K34" i="19"/>
  <c r="K32" i="19"/>
  <c r="K22" i="19"/>
  <c r="K24" i="19"/>
  <c r="K8" i="19"/>
  <c r="K14" i="19"/>
  <c r="K20" i="19"/>
  <c r="K30" i="19"/>
  <c r="K10" i="19"/>
  <c r="K16" i="19"/>
  <c r="K33" i="19"/>
  <c r="K28" i="19"/>
  <c r="K7" i="19"/>
  <c r="K17" i="19"/>
  <c r="K11" i="19"/>
  <c r="L25" i="19"/>
  <c r="K25" i="19"/>
  <c r="O6" i="19"/>
  <c r="M5" i="19"/>
  <c r="B5" i="19"/>
  <c r="I5" i="19" s="1"/>
  <c r="F31" i="19"/>
  <c r="F29" i="19"/>
  <c r="F23" i="19"/>
  <c r="F21" i="19"/>
  <c r="F5" i="19"/>
  <c r="G5" i="19"/>
  <c r="F16" i="19"/>
  <c r="F8" i="19"/>
  <c r="F15" i="19"/>
  <c r="F13" i="19"/>
  <c r="F10" i="19"/>
  <c r="F34" i="19"/>
  <c r="F22" i="19"/>
  <c r="F30" i="19"/>
  <c r="F12" i="19"/>
  <c r="F26" i="19"/>
  <c r="F20" i="19"/>
  <c r="F24" i="19"/>
  <c r="F32" i="19"/>
  <c r="F19" i="19"/>
  <c r="F9" i="19"/>
  <c r="F18" i="19"/>
  <c r="F28" i="19"/>
  <c r="F33" i="19"/>
  <c r="F14" i="19"/>
  <c r="F7" i="19"/>
  <c r="F17" i="19"/>
  <c r="F27" i="19"/>
  <c r="F25" i="19"/>
  <c r="F11" i="19"/>
  <c r="H5" i="19" l="1"/>
  <c r="N31" i="19"/>
  <c r="N29" i="19"/>
  <c r="N23" i="19"/>
  <c r="N21" i="19"/>
  <c r="N5" i="19"/>
  <c r="O5" i="19"/>
  <c r="N9" i="19"/>
  <c r="N33" i="19"/>
  <c r="N8" i="19"/>
  <c r="N19" i="19"/>
  <c r="N34" i="19"/>
  <c r="N30" i="19"/>
  <c r="N24" i="19"/>
  <c r="N15" i="19"/>
  <c r="N13" i="19"/>
  <c r="N28" i="19"/>
  <c r="N12" i="19"/>
  <c r="N16" i="19"/>
  <c r="N20" i="19"/>
  <c r="N10" i="19"/>
  <c r="N22" i="19"/>
  <c r="N26" i="19"/>
  <c r="N25" i="19"/>
  <c r="N32" i="19"/>
  <c r="N27" i="19"/>
  <c r="N18" i="19"/>
  <c r="N11" i="19"/>
  <c r="N14" i="19"/>
  <c r="N7" i="19"/>
  <c r="N17" i="19"/>
  <c r="C33" i="19"/>
  <c r="C31" i="19"/>
  <c r="C21" i="19"/>
  <c r="C5" i="19"/>
  <c r="C19" i="19"/>
  <c r="D5" i="19"/>
  <c r="C34" i="19"/>
  <c r="C23" i="19"/>
  <c r="C29" i="19"/>
  <c r="C13" i="19"/>
  <c r="C9" i="19"/>
  <c r="C15" i="19"/>
  <c r="C32" i="19"/>
  <c r="C22" i="19"/>
  <c r="C30" i="19"/>
  <c r="C12" i="19"/>
  <c r="C18" i="19"/>
  <c r="C10" i="19"/>
  <c r="C16" i="19"/>
  <c r="C26" i="19"/>
  <c r="C8" i="19"/>
  <c r="C14" i="19"/>
  <c r="C20" i="19"/>
  <c r="C24" i="19"/>
  <c r="C17" i="19"/>
  <c r="C11" i="19"/>
  <c r="C7" i="19"/>
  <c r="C28" i="19"/>
  <c r="C6" i="19"/>
  <c r="C27" i="19"/>
  <c r="C25" i="19"/>
  <c r="N6" i="19"/>
  <c r="H122" i="22" l="1"/>
  <c r="H123" i="22"/>
  <c r="H124" i="22"/>
  <c r="H125" i="22"/>
  <c r="H126" i="22"/>
  <c r="H127" i="22"/>
  <c r="P133" i="22"/>
  <c r="P132" i="22"/>
  <c r="M133" i="22"/>
  <c r="M132" i="22"/>
  <c r="H133" i="22"/>
  <c r="H132" i="22"/>
  <c r="E133" i="22"/>
  <c r="E132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P34" i="22"/>
  <c r="P35" i="22"/>
  <c r="P36" i="22"/>
  <c r="P37" i="22"/>
  <c r="P38" i="22"/>
  <c r="P39" i="22"/>
  <c r="P40" i="22"/>
  <c r="P41" i="22"/>
  <c r="P42" i="22"/>
  <c r="P43" i="22"/>
  <c r="P44" i="22"/>
  <c r="P45" i="22"/>
  <c r="P46" i="22"/>
  <c r="P47" i="22"/>
  <c r="P48" i="22"/>
  <c r="P49" i="22"/>
  <c r="P50" i="22"/>
  <c r="P51" i="22"/>
  <c r="P52" i="22"/>
  <c r="P53" i="22"/>
  <c r="P54" i="22"/>
  <c r="P55" i="22"/>
  <c r="P56" i="22"/>
  <c r="P57" i="22"/>
  <c r="P58" i="22"/>
  <c r="P59" i="22"/>
  <c r="P60" i="22"/>
  <c r="P61" i="22"/>
  <c r="P62" i="22"/>
  <c r="P63" i="22"/>
  <c r="P64" i="22"/>
  <c r="P65" i="22"/>
  <c r="P66" i="22"/>
  <c r="P67" i="22"/>
  <c r="P68" i="22"/>
  <c r="P69" i="22"/>
  <c r="P70" i="22"/>
  <c r="P71" i="22"/>
  <c r="P72" i="22"/>
  <c r="P73" i="22"/>
  <c r="P74" i="22"/>
  <c r="P75" i="22"/>
  <c r="P76" i="22"/>
  <c r="P77" i="22"/>
  <c r="P78" i="22"/>
  <c r="P79" i="22"/>
  <c r="P80" i="22"/>
  <c r="P81" i="22"/>
  <c r="P82" i="22"/>
  <c r="P83" i="22"/>
  <c r="P84" i="22"/>
  <c r="P85" i="22"/>
  <c r="P86" i="22"/>
  <c r="P87" i="22"/>
  <c r="P88" i="22"/>
  <c r="P89" i="22"/>
  <c r="P90" i="22"/>
  <c r="P91" i="22"/>
  <c r="P92" i="22"/>
  <c r="P93" i="22"/>
  <c r="P94" i="22"/>
  <c r="P95" i="22"/>
  <c r="P96" i="22"/>
  <c r="P97" i="22"/>
  <c r="P98" i="22"/>
  <c r="P99" i="22"/>
  <c r="P100" i="22"/>
  <c r="P101" i="22"/>
  <c r="P102" i="22"/>
  <c r="P103" i="22"/>
  <c r="P104" i="22"/>
  <c r="P105" i="22"/>
  <c r="P106" i="22"/>
  <c r="P107" i="22"/>
  <c r="P108" i="22"/>
  <c r="P109" i="22"/>
  <c r="P110" i="22"/>
  <c r="P111" i="22"/>
  <c r="P112" i="22"/>
  <c r="P113" i="22"/>
  <c r="P114" i="22"/>
  <c r="P115" i="22"/>
  <c r="P116" i="22"/>
  <c r="P117" i="22"/>
  <c r="P118" i="22"/>
  <c r="P119" i="22"/>
  <c r="P120" i="22"/>
  <c r="P121" i="22"/>
  <c r="P122" i="22"/>
  <c r="P123" i="22"/>
  <c r="P124" i="22"/>
  <c r="P125" i="22"/>
  <c r="P126" i="22"/>
  <c r="P127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69" i="22"/>
  <c r="M70" i="22"/>
  <c r="M71" i="22"/>
  <c r="M72" i="22"/>
  <c r="M73" i="22"/>
  <c r="M74" i="22"/>
  <c r="M75" i="22"/>
  <c r="M76" i="22"/>
  <c r="M77" i="22"/>
  <c r="M78" i="22"/>
  <c r="M79" i="22"/>
  <c r="M80" i="22"/>
  <c r="M81" i="22"/>
  <c r="M82" i="22"/>
  <c r="M83" i="22"/>
  <c r="M84" i="22"/>
  <c r="M85" i="22"/>
  <c r="M86" i="22"/>
  <c r="M87" i="22"/>
  <c r="M88" i="22"/>
  <c r="M89" i="22"/>
  <c r="M90" i="22"/>
  <c r="M91" i="22"/>
  <c r="M92" i="22"/>
  <c r="M93" i="22"/>
  <c r="M94" i="22"/>
  <c r="M95" i="22"/>
  <c r="M96" i="22"/>
  <c r="M97" i="22"/>
  <c r="M98" i="22"/>
  <c r="M99" i="22"/>
  <c r="M100" i="22"/>
  <c r="M101" i="22"/>
  <c r="M102" i="22"/>
  <c r="M103" i="22"/>
  <c r="M104" i="22"/>
  <c r="M105" i="22"/>
  <c r="M106" i="22"/>
  <c r="M107" i="22"/>
  <c r="M108" i="22"/>
  <c r="M109" i="22"/>
  <c r="M110" i="22"/>
  <c r="M111" i="22"/>
  <c r="M112" i="22"/>
  <c r="M113" i="22"/>
  <c r="M114" i="22"/>
  <c r="M115" i="22"/>
  <c r="M116" i="22"/>
  <c r="M117" i="22"/>
  <c r="M118" i="22"/>
  <c r="M119" i="22"/>
  <c r="M120" i="22"/>
  <c r="M121" i="22"/>
  <c r="M122" i="22"/>
  <c r="M123" i="22"/>
  <c r="M124" i="22"/>
  <c r="M125" i="22"/>
  <c r="M126" i="22"/>
  <c r="M127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E74" i="22"/>
  <c r="E75" i="22"/>
  <c r="E76" i="22"/>
  <c r="E77" i="22"/>
  <c r="E78" i="22"/>
  <c r="E79" i="22"/>
  <c r="E80" i="22"/>
  <c r="E81" i="22"/>
  <c r="E82" i="22"/>
  <c r="E83" i="22"/>
  <c r="E84" i="22"/>
  <c r="E85" i="22"/>
  <c r="E86" i="22"/>
  <c r="E87" i="22"/>
  <c r="E88" i="22"/>
  <c r="E89" i="22"/>
  <c r="E90" i="22"/>
  <c r="E91" i="22"/>
  <c r="E92" i="22"/>
  <c r="E93" i="22"/>
  <c r="E94" i="22"/>
  <c r="E95" i="22"/>
  <c r="E96" i="22"/>
  <c r="E97" i="22"/>
  <c r="E98" i="22"/>
  <c r="E99" i="22"/>
  <c r="E100" i="22"/>
  <c r="E101" i="22"/>
  <c r="E102" i="22"/>
  <c r="E103" i="22"/>
  <c r="E104" i="22"/>
  <c r="E105" i="22"/>
  <c r="E106" i="22"/>
  <c r="E107" i="22"/>
  <c r="E108" i="22"/>
  <c r="E109" i="22"/>
  <c r="E110" i="22"/>
  <c r="E111" i="22"/>
  <c r="E112" i="22"/>
  <c r="E113" i="22"/>
  <c r="E114" i="22"/>
  <c r="E115" i="22"/>
  <c r="E116" i="22"/>
  <c r="E117" i="22"/>
  <c r="E118" i="22"/>
  <c r="E119" i="22"/>
  <c r="E120" i="22"/>
  <c r="E121" i="22"/>
  <c r="E122" i="22"/>
  <c r="E123" i="22"/>
  <c r="E124" i="22"/>
  <c r="E125" i="22"/>
  <c r="E126" i="22"/>
  <c r="E127" i="22"/>
  <c r="N8" i="22"/>
  <c r="N14" i="22"/>
  <c r="N12" i="22"/>
  <c r="P12" i="22" s="1"/>
  <c r="N9" i="22"/>
  <c r="N7" i="22"/>
  <c r="P7" i="22" s="1"/>
  <c r="N6" i="22"/>
  <c r="N5" i="22"/>
  <c r="N4" i="22"/>
  <c r="O22" i="22" s="1"/>
  <c r="K14" i="22"/>
  <c r="M14" i="22" s="1"/>
  <c r="K12" i="22"/>
  <c r="M12" i="22" s="1"/>
  <c r="K9" i="22"/>
  <c r="K8" i="22"/>
  <c r="K7" i="22"/>
  <c r="K6" i="22"/>
  <c r="M6" i="22" s="1"/>
  <c r="K5" i="22"/>
  <c r="M5" i="22" s="1"/>
  <c r="K4" i="22"/>
  <c r="L16" i="22" s="1"/>
  <c r="F6" i="22"/>
  <c r="I30" i="22"/>
  <c r="J30" i="22"/>
  <c r="I31" i="22"/>
  <c r="J31" i="22"/>
  <c r="I32" i="22"/>
  <c r="J32" i="22"/>
  <c r="I33" i="22"/>
  <c r="J33" i="22"/>
  <c r="I34" i="22"/>
  <c r="J34" i="22"/>
  <c r="I35" i="22"/>
  <c r="J35" i="22"/>
  <c r="I36" i="22"/>
  <c r="J36" i="22"/>
  <c r="I37" i="22"/>
  <c r="J37" i="22"/>
  <c r="I38" i="22"/>
  <c r="J38" i="22"/>
  <c r="I39" i="22"/>
  <c r="J39" i="22"/>
  <c r="I40" i="22"/>
  <c r="J40" i="22"/>
  <c r="I41" i="22"/>
  <c r="I42" i="22"/>
  <c r="J42" i="22"/>
  <c r="I43" i="22"/>
  <c r="J43" i="22"/>
  <c r="I44" i="22"/>
  <c r="J44" i="22"/>
  <c r="I46" i="22"/>
  <c r="J46" i="22"/>
  <c r="I47" i="22"/>
  <c r="J47" i="22"/>
  <c r="I48" i="22"/>
  <c r="I49" i="22"/>
  <c r="J49" i="22"/>
  <c r="I50" i="22"/>
  <c r="J50" i="22"/>
  <c r="I51" i="22"/>
  <c r="J51" i="22"/>
  <c r="I52" i="22"/>
  <c r="J52" i="22"/>
  <c r="I53" i="22"/>
  <c r="J53" i="22"/>
  <c r="I54" i="22"/>
  <c r="J54" i="22"/>
  <c r="I55" i="22"/>
  <c r="I56" i="22"/>
  <c r="J56" i="22"/>
  <c r="I57" i="22"/>
  <c r="J57" i="22"/>
  <c r="I58" i="22"/>
  <c r="J58" i="22"/>
  <c r="I59" i="22"/>
  <c r="J59" i="22"/>
  <c r="I60" i="22"/>
  <c r="J60" i="22"/>
  <c r="I61" i="22"/>
  <c r="J61" i="22"/>
  <c r="I62" i="22"/>
  <c r="J62" i="22"/>
  <c r="I63" i="22"/>
  <c r="J63" i="22"/>
  <c r="I64" i="22"/>
  <c r="J64" i="22"/>
  <c r="I65" i="22"/>
  <c r="J65" i="22"/>
  <c r="I66" i="22"/>
  <c r="J66" i="22"/>
  <c r="I67" i="22"/>
  <c r="J67" i="22"/>
  <c r="I68" i="22"/>
  <c r="I69" i="22"/>
  <c r="J69" i="22"/>
  <c r="I70" i="22"/>
  <c r="J70" i="22"/>
  <c r="I71" i="22"/>
  <c r="I72" i="22"/>
  <c r="J72" i="22"/>
  <c r="I73" i="22"/>
  <c r="J73" i="22"/>
  <c r="I74" i="22"/>
  <c r="J74" i="22"/>
  <c r="I75" i="22"/>
  <c r="J75" i="22"/>
  <c r="I76" i="22"/>
  <c r="J76" i="22"/>
  <c r="I77" i="22"/>
  <c r="J77" i="22"/>
  <c r="I78" i="22"/>
  <c r="J78" i="22"/>
  <c r="I79" i="22"/>
  <c r="J79" i="22"/>
  <c r="I80" i="22"/>
  <c r="J80" i="22"/>
  <c r="I81" i="22"/>
  <c r="I82" i="22"/>
  <c r="J82" i="22"/>
  <c r="I83" i="22"/>
  <c r="J83" i="22"/>
  <c r="I84" i="22"/>
  <c r="J84" i="22"/>
  <c r="I85" i="22"/>
  <c r="J85" i="22"/>
  <c r="I86" i="22"/>
  <c r="J86" i="22"/>
  <c r="I87" i="22"/>
  <c r="J87" i="22"/>
  <c r="I88" i="22"/>
  <c r="J88" i="22"/>
  <c r="I89" i="22"/>
  <c r="J89" i="22"/>
  <c r="I90" i="22"/>
  <c r="J90" i="22"/>
  <c r="I91" i="22"/>
  <c r="J91" i="22"/>
  <c r="I92" i="22"/>
  <c r="J92" i="22"/>
  <c r="I94" i="22"/>
  <c r="J94" i="22"/>
  <c r="I95" i="22"/>
  <c r="J95" i="22"/>
  <c r="I96" i="22"/>
  <c r="J96" i="22"/>
  <c r="I97" i="22"/>
  <c r="J97" i="22"/>
  <c r="I98" i="22"/>
  <c r="J98" i="22"/>
  <c r="I99" i="22"/>
  <c r="J99" i="22"/>
  <c r="I100" i="22"/>
  <c r="J100" i="22"/>
  <c r="I101" i="22"/>
  <c r="J101" i="22"/>
  <c r="I102" i="22"/>
  <c r="J102" i="22"/>
  <c r="I103" i="22"/>
  <c r="J103" i="22"/>
  <c r="I104" i="22"/>
  <c r="J104" i="22"/>
  <c r="I105" i="22"/>
  <c r="I106" i="22"/>
  <c r="I107" i="22"/>
  <c r="J107" i="22"/>
  <c r="I108" i="22"/>
  <c r="J108" i="22"/>
  <c r="I109" i="22"/>
  <c r="J109" i="22"/>
  <c r="I110" i="22"/>
  <c r="J110" i="22"/>
  <c r="I111" i="22"/>
  <c r="J111" i="22"/>
  <c r="I112" i="22"/>
  <c r="J112" i="22"/>
  <c r="I113" i="22"/>
  <c r="J113" i="22"/>
  <c r="I114" i="22"/>
  <c r="J114" i="22"/>
  <c r="I115" i="22"/>
  <c r="J115" i="22"/>
  <c r="I116" i="22"/>
  <c r="J116" i="22"/>
  <c r="I117" i="22"/>
  <c r="J117" i="22"/>
  <c r="I118" i="22"/>
  <c r="J118" i="22"/>
  <c r="I119" i="22"/>
  <c r="J119" i="22"/>
  <c r="I120" i="22"/>
  <c r="J120" i="22"/>
  <c r="I121" i="22"/>
  <c r="J121" i="22"/>
  <c r="I122" i="22"/>
  <c r="J122" i="22"/>
  <c r="I123" i="22"/>
  <c r="J123" i="22"/>
  <c r="I124" i="22"/>
  <c r="J124" i="22"/>
  <c r="I125" i="22"/>
  <c r="I126" i="22"/>
  <c r="I127" i="22"/>
  <c r="J127" i="22"/>
  <c r="J133" i="22"/>
  <c r="I133" i="22"/>
  <c r="C14" i="22"/>
  <c r="E14" i="22" s="1"/>
  <c r="C12" i="22"/>
  <c r="C9" i="22"/>
  <c r="E9" i="22" s="1"/>
  <c r="C8" i="22"/>
  <c r="C7" i="22"/>
  <c r="C6" i="22"/>
  <c r="C5" i="22"/>
  <c r="E5" i="22" s="1"/>
  <c r="C4" i="22"/>
  <c r="D127" i="22" s="1"/>
  <c r="H17" i="22"/>
  <c r="H26" i="22"/>
  <c r="F8" i="22"/>
  <c r="H8" i="22" s="1"/>
  <c r="F9" i="22"/>
  <c r="I9" i="22" s="1"/>
  <c r="H76" i="22"/>
  <c r="H79" i="22"/>
  <c r="H86" i="22"/>
  <c r="H91" i="22"/>
  <c r="H94" i="22"/>
  <c r="H113" i="22"/>
  <c r="H117" i="22"/>
  <c r="H119" i="22"/>
  <c r="H103" i="22"/>
  <c r="H98" i="22"/>
  <c r="H85" i="22"/>
  <c r="F14" i="22"/>
  <c r="G14" i="22" s="1"/>
  <c r="F12" i="22"/>
  <c r="H12" i="22" s="1"/>
  <c r="F5" i="22"/>
  <c r="I16" i="22"/>
  <c r="H18" i="22"/>
  <c r="J20" i="22"/>
  <c r="H21" i="22"/>
  <c r="H24" i="22"/>
  <c r="I24" i="22"/>
  <c r="H78" i="22"/>
  <c r="H80" i="22"/>
  <c r="H88" i="22"/>
  <c r="H92" i="22"/>
  <c r="H96" i="22"/>
  <c r="H97" i="22"/>
  <c r="H99" i="22"/>
  <c r="H101" i="22"/>
  <c r="H106" i="22"/>
  <c r="H110" i="22"/>
  <c r="I132" i="22"/>
  <c r="J132" i="22"/>
  <c r="H15" i="22"/>
  <c r="I15" i="22"/>
  <c r="H104" i="22"/>
  <c r="H20" i="22"/>
  <c r="H16" i="22"/>
  <c r="J16" i="22"/>
  <c r="I20" i="22"/>
  <c r="H108" i="22"/>
  <c r="H81" i="22"/>
  <c r="H120" i="22"/>
  <c r="H116" i="22"/>
  <c r="H112" i="22"/>
  <c r="H84" i="22"/>
  <c r="I18" i="22"/>
  <c r="H19" i="22"/>
  <c r="H100" i="22"/>
  <c r="H89" i="22"/>
  <c r="H77" i="22"/>
  <c r="I29" i="22"/>
  <c r="H23" i="22"/>
  <c r="H82" i="22"/>
  <c r="H107" i="22"/>
  <c r="H115" i="22"/>
  <c r="I28" i="22"/>
  <c r="H28" i="22"/>
  <c r="H111" i="22"/>
  <c r="H22" i="22"/>
  <c r="I22" i="22"/>
  <c r="H87" i="22"/>
  <c r="I17" i="22"/>
  <c r="J22" i="22"/>
  <c r="F7" i="22"/>
  <c r="H7" i="22" s="1"/>
  <c r="H102" i="22"/>
  <c r="H83" i="22"/>
  <c r="H29" i="22"/>
  <c r="H27" i="22"/>
  <c r="I23" i="22"/>
  <c r="J15" i="22"/>
  <c r="J18" i="22"/>
  <c r="J29" i="22"/>
  <c r="J28" i="22"/>
  <c r="I26" i="22"/>
  <c r="J26" i="22"/>
  <c r="J27" i="22"/>
  <c r="J21" i="22"/>
  <c r="J17" i="22"/>
  <c r="I21" i="22"/>
  <c r="H118" i="22"/>
  <c r="I27" i="22"/>
  <c r="J23" i="22"/>
  <c r="I19" i="22"/>
  <c r="J19" i="22"/>
  <c r="F4" i="22"/>
  <c r="H121" i="22"/>
  <c r="I5" i="22"/>
  <c r="H5" i="22"/>
  <c r="C11" i="22"/>
  <c r="E11" i="22" s="1"/>
  <c r="G18" i="22"/>
  <c r="G22" i="22"/>
  <c r="G26" i="22"/>
  <c r="G32" i="22"/>
  <c r="G38" i="22"/>
  <c r="G40" i="22"/>
  <c r="G48" i="22"/>
  <c r="G50" i="22"/>
  <c r="G54" i="22"/>
  <c r="G62" i="22"/>
  <c r="G64" i="22"/>
  <c r="G17" i="22"/>
  <c r="G21" i="22"/>
  <c r="G27" i="22"/>
  <c r="G29" i="22"/>
  <c r="G37" i="22"/>
  <c r="G41" i="22"/>
  <c r="G43" i="22"/>
  <c r="G51" i="22"/>
  <c r="G53" i="22"/>
  <c r="G59" i="22"/>
  <c r="M4" i="22"/>
  <c r="L27" i="22"/>
  <c r="L33" i="22"/>
  <c r="L49" i="22"/>
  <c r="L73" i="22"/>
  <c r="L75" i="22"/>
  <c r="L91" i="22"/>
  <c r="L111" i="22"/>
  <c r="L115" i="22"/>
  <c r="L127" i="22"/>
  <c r="L30" i="22"/>
  <c r="L34" i="22"/>
  <c r="L44" i="22"/>
  <c r="L60" i="22"/>
  <c r="L62" i="22"/>
  <c r="L74" i="22"/>
  <c r="L86" i="22"/>
  <c r="L92" i="22"/>
  <c r="L102" i="22"/>
  <c r="L116" i="22"/>
  <c r="L118" i="22"/>
  <c r="L126" i="22"/>
  <c r="L12" i="22"/>
  <c r="O20" i="22"/>
  <c r="O30" i="22"/>
  <c r="O34" i="22"/>
  <c r="O42" i="22"/>
  <c r="O52" i="22"/>
  <c r="O54" i="22"/>
  <c r="O62" i="22"/>
  <c r="O74" i="22"/>
  <c r="O76" i="22"/>
  <c r="O84" i="22"/>
  <c r="O94" i="22"/>
  <c r="O98" i="22"/>
  <c r="O106" i="22"/>
  <c r="O116" i="22"/>
  <c r="O118" i="22"/>
  <c r="O126" i="22"/>
  <c r="O21" i="22"/>
  <c r="O23" i="22"/>
  <c r="O31" i="22"/>
  <c r="O41" i="22"/>
  <c r="O45" i="22"/>
  <c r="O53" i="22"/>
  <c r="O63" i="22"/>
  <c r="O65" i="22"/>
  <c r="O73" i="22"/>
  <c r="O85" i="22"/>
  <c r="O87" i="22"/>
  <c r="O95" i="22"/>
  <c r="O105" i="22"/>
  <c r="O109" i="22"/>
  <c r="O117" i="22"/>
  <c r="O127" i="22"/>
  <c r="D95" i="22"/>
  <c r="D31" i="22"/>
  <c r="G123" i="22"/>
  <c r="G119" i="22"/>
  <c r="G115" i="22"/>
  <c r="G109" i="22"/>
  <c r="G103" i="22"/>
  <c r="G101" i="22"/>
  <c r="G93" i="22"/>
  <c r="G91" i="22"/>
  <c r="G87" i="22"/>
  <c r="G79" i="22"/>
  <c r="G77" i="22"/>
  <c r="G71" i="22"/>
  <c r="G67" i="22"/>
  <c r="M9" i="22"/>
  <c r="D92" i="22"/>
  <c r="D28" i="22"/>
  <c r="G126" i="22"/>
  <c r="G122" i="22"/>
  <c r="G116" i="22"/>
  <c r="G114" i="22"/>
  <c r="G106" i="22"/>
  <c r="G102" i="22"/>
  <c r="G100" i="22"/>
  <c r="G92" i="22"/>
  <c r="G90" i="22"/>
  <c r="G84" i="22"/>
  <c r="G78" i="22"/>
  <c r="G76" i="22"/>
  <c r="G74" i="22"/>
  <c r="G68" i="22"/>
  <c r="G65" i="22"/>
  <c r="D16" i="22" l="1"/>
  <c r="D76" i="22"/>
  <c r="O12" i="22"/>
  <c r="D15" i="22"/>
  <c r="D79" i="22"/>
  <c r="O9" i="22"/>
  <c r="D44" i="22"/>
  <c r="D108" i="22"/>
  <c r="D47" i="22"/>
  <c r="D111" i="22"/>
  <c r="N11" i="22"/>
  <c r="P11" i="22" s="1"/>
  <c r="O14" i="22"/>
  <c r="D60" i="22"/>
  <c r="D124" i="22"/>
  <c r="D63" i="22"/>
  <c r="L7" i="22"/>
  <c r="D125" i="22"/>
  <c r="D117" i="22"/>
  <c r="D109" i="22"/>
  <c r="D101" i="22"/>
  <c r="D93" i="22"/>
  <c r="D85" i="22"/>
  <c r="D77" i="22"/>
  <c r="D69" i="22"/>
  <c r="D61" i="22"/>
  <c r="D53" i="22"/>
  <c r="D45" i="22"/>
  <c r="D37" i="22"/>
  <c r="D29" i="22"/>
  <c r="D21" i="22"/>
  <c r="D9" i="22"/>
  <c r="D122" i="22"/>
  <c r="D114" i="22"/>
  <c r="D106" i="22"/>
  <c r="D98" i="22"/>
  <c r="D90" i="22"/>
  <c r="D82" i="22"/>
  <c r="D74" i="22"/>
  <c r="D66" i="22"/>
  <c r="D58" i="22"/>
  <c r="D50" i="22"/>
  <c r="D42" i="22"/>
  <c r="D34" i="22"/>
  <c r="D26" i="22"/>
  <c r="D18" i="22"/>
  <c r="D123" i="22"/>
  <c r="D115" i="22"/>
  <c r="D107" i="22"/>
  <c r="D99" i="22"/>
  <c r="D91" i="22"/>
  <c r="D83" i="22"/>
  <c r="D75" i="22"/>
  <c r="D67" i="22"/>
  <c r="D59" i="22"/>
  <c r="D51" i="22"/>
  <c r="D43" i="22"/>
  <c r="D35" i="22"/>
  <c r="D27" i="22"/>
  <c r="D19" i="22"/>
  <c r="D4" i="22"/>
  <c r="D120" i="22"/>
  <c r="D112" i="22"/>
  <c r="D104" i="22"/>
  <c r="D96" i="22"/>
  <c r="D88" i="22"/>
  <c r="D80" i="22"/>
  <c r="D72" i="22"/>
  <c r="D64" i="22"/>
  <c r="D56" i="22"/>
  <c r="D48" i="22"/>
  <c r="D40" i="22"/>
  <c r="D32" i="22"/>
  <c r="E7" i="22"/>
  <c r="D7" i="22"/>
  <c r="D20" i="22"/>
  <c r="D30" i="22"/>
  <c r="D46" i="22"/>
  <c r="D62" i="22"/>
  <c r="D78" i="22"/>
  <c r="D94" i="22"/>
  <c r="D110" i="22"/>
  <c r="D126" i="22"/>
  <c r="D17" i="22"/>
  <c r="D33" i="22"/>
  <c r="D49" i="22"/>
  <c r="D65" i="22"/>
  <c r="D81" i="22"/>
  <c r="D97" i="22"/>
  <c r="D113" i="22"/>
  <c r="P14" i="22"/>
  <c r="O8" i="22"/>
  <c r="P8" i="22"/>
  <c r="E4" i="22"/>
  <c r="D22" i="22"/>
  <c r="D36" i="22"/>
  <c r="D52" i="22"/>
  <c r="D68" i="22"/>
  <c r="D84" i="22"/>
  <c r="D100" i="22"/>
  <c r="D116" i="22"/>
  <c r="D23" i="22"/>
  <c r="D39" i="22"/>
  <c r="D55" i="22"/>
  <c r="D71" i="22"/>
  <c r="D87" i="22"/>
  <c r="D103" i="22"/>
  <c r="D119" i="22"/>
  <c r="P6" i="22"/>
  <c r="D6" i="22"/>
  <c r="D24" i="22"/>
  <c r="D38" i="22"/>
  <c r="D54" i="22"/>
  <c r="D70" i="22"/>
  <c r="D86" i="22"/>
  <c r="D102" i="22"/>
  <c r="D118" i="22"/>
  <c r="L14" i="22"/>
  <c r="D25" i="22"/>
  <c r="D41" i="22"/>
  <c r="D57" i="22"/>
  <c r="D73" i="22"/>
  <c r="D89" i="22"/>
  <c r="D105" i="22"/>
  <c r="D121" i="22"/>
  <c r="O6" i="22"/>
  <c r="D5" i="22"/>
  <c r="D14" i="22"/>
  <c r="O119" i="22"/>
  <c r="O97" i="22"/>
  <c r="O77" i="22"/>
  <c r="O55" i="22"/>
  <c r="O33" i="22"/>
  <c r="P4" i="22"/>
  <c r="O108" i="22"/>
  <c r="O86" i="22"/>
  <c r="O66" i="22"/>
  <c r="O44" i="22"/>
  <c r="L106" i="22"/>
  <c r="L76" i="22"/>
  <c r="L50" i="22"/>
  <c r="L15" i="22"/>
  <c r="L97" i="22"/>
  <c r="L57" i="22"/>
  <c r="H6" i="22"/>
  <c r="G6" i="22"/>
  <c r="F11" i="22"/>
  <c r="J11" i="22" s="1"/>
  <c r="L24" i="22"/>
  <c r="L35" i="22"/>
  <c r="L51" i="22"/>
  <c r="L67" i="22"/>
  <c r="L83" i="22"/>
  <c r="L99" i="22"/>
  <c r="L113" i="22"/>
  <c r="L123" i="22"/>
  <c r="L26" i="22"/>
  <c r="L36" i="22"/>
  <c r="L46" i="22"/>
  <c r="L58" i="22"/>
  <c r="L68" i="22"/>
  <c r="L78" i="22"/>
  <c r="L90" i="22"/>
  <c r="L100" i="22"/>
  <c r="L110" i="22"/>
  <c r="L120" i="22"/>
  <c r="L4" i="22"/>
  <c r="L8" i="22"/>
  <c r="N10" i="22"/>
  <c r="O16" i="22"/>
  <c r="O24" i="22"/>
  <c r="O32" i="22"/>
  <c r="O40" i="22"/>
  <c r="O48" i="22"/>
  <c r="O56" i="22"/>
  <c r="O64" i="22"/>
  <c r="O72" i="22"/>
  <c r="O80" i="22"/>
  <c r="O88" i="22"/>
  <c r="O96" i="22"/>
  <c r="O104" i="22"/>
  <c r="O112" i="22"/>
  <c r="O120" i="22"/>
  <c r="O4" i="22"/>
  <c r="O19" i="22"/>
  <c r="O27" i="22"/>
  <c r="O35" i="22"/>
  <c r="O43" i="22"/>
  <c r="O51" i="22"/>
  <c r="O59" i="22"/>
  <c r="O67" i="22"/>
  <c r="O75" i="22"/>
  <c r="O83" i="22"/>
  <c r="O91" i="22"/>
  <c r="O99" i="22"/>
  <c r="O107" i="22"/>
  <c r="O115" i="22"/>
  <c r="O123" i="22"/>
  <c r="N13" i="22"/>
  <c r="O13" i="22" s="1"/>
  <c r="O7" i="22"/>
  <c r="P9" i="22"/>
  <c r="O125" i="22"/>
  <c r="O113" i="22"/>
  <c r="O103" i="22"/>
  <c r="O93" i="22"/>
  <c r="O81" i="22"/>
  <c r="O71" i="22"/>
  <c r="O61" i="22"/>
  <c r="O49" i="22"/>
  <c r="O39" i="22"/>
  <c r="O29" i="22"/>
  <c r="O17" i="22"/>
  <c r="O124" i="22"/>
  <c r="O114" i="22"/>
  <c r="O102" i="22"/>
  <c r="O92" i="22"/>
  <c r="O82" i="22"/>
  <c r="O70" i="22"/>
  <c r="O60" i="22"/>
  <c r="O50" i="22"/>
  <c r="O38" i="22"/>
  <c r="O28" i="22"/>
  <c r="O18" i="22"/>
  <c r="M8" i="22"/>
  <c r="L124" i="22"/>
  <c r="L114" i="22"/>
  <c r="L98" i="22"/>
  <c r="L84" i="22"/>
  <c r="L70" i="22"/>
  <c r="L54" i="22"/>
  <c r="L42" i="22"/>
  <c r="L28" i="22"/>
  <c r="L121" i="22"/>
  <c r="L107" i="22"/>
  <c r="L89" i="22"/>
  <c r="L65" i="22"/>
  <c r="L43" i="22"/>
  <c r="L25" i="22"/>
  <c r="J6" i="22"/>
  <c r="F10" i="22"/>
  <c r="H10" i="22" s="1"/>
  <c r="I4" i="22"/>
  <c r="G133" i="22"/>
  <c r="G24" i="22"/>
  <c r="G34" i="22"/>
  <c r="G46" i="22"/>
  <c r="G56" i="22"/>
  <c r="G66" i="22"/>
  <c r="G25" i="22"/>
  <c r="G35" i="22"/>
  <c r="G45" i="22"/>
  <c r="G57" i="22"/>
  <c r="G127" i="22"/>
  <c r="G117" i="22"/>
  <c r="G107" i="22"/>
  <c r="G95" i="22"/>
  <c r="G85" i="22"/>
  <c r="G75" i="22"/>
  <c r="G7" i="22"/>
  <c r="G118" i="22"/>
  <c r="G108" i="22"/>
  <c r="G98" i="22"/>
  <c r="G86" i="22"/>
  <c r="L5" i="22"/>
  <c r="L9" i="22"/>
  <c r="O5" i="22"/>
  <c r="P5" i="22"/>
  <c r="G70" i="22"/>
  <c r="G82" i="22"/>
  <c r="G94" i="22"/>
  <c r="G110" i="22"/>
  <c r="G124" i="22"/>
  <c r="M7" i="22"/>
  <c r="G69" i="22"/>
  <c r="G83" i="22"/>
  <c r="G99" i="22"/>
  <c r="G111" i="22"/>
  <c r="G125" i="22"/>
  <c r="O121" i="22"/>
  <c r="O111" i="22"/>
  <c r="O101" i="22"/>
  <c r="O89" i="22"/>
  <c r="O79" i="22"/>
  <c r="O69" i="22"/>
  <c r="O57" i="22"/>
  <c r="O47" i="22"/>
  <c r="O37" i="22"/>
  <c r="O25" i="22"/>
  <c r="O15" i="22"/>
  <c r="O122" i="22"/>
  <c r="O110" i="22"/>
  <c r="O100" i="22"/>
  <c r="O90" i="22"/>
  <c r="O78" i="22"/>
  <c r="O68" i="22"/>
  <c r="O58" i="22"/>
  <c r="O46" i="22"/>
  <c r="O36" i="22"/>
  <c r="O26" i="22"/>
  <c r="O133" i="22"/>
  <c r="L6" i="22"/>
  <c r="L122" i="22"/>
  <c r="L108" i="22"/>
  <c r="L94" i="22"/>
  <c r="L82" i="22"/>
  <c r="L66" i="22"/>
  <c r="L52" i="22"/>
  <c r="L38" i="22"/>
  <c r="L19" i="22"/>
  <c r="L119" i="22"/>
  <c r="L105" i="22"/>
  <c r="L81" i="22"/>
  <c r="L59" i="22"/>
  <c r="L41" i="22"/>
  <c r="L22" i="22"/>
  <c r="G5" i="22"/>
  <c r="G49" i="22"/>
  <c r="G33" i="22"/>
  <c r="G19" i="22"/>
  <c r="G58" i="22"/>
  <c r="G42" i="22"/>
  <c r="G30" i="22"/>
  <c r="G16" i="22"/>
  <c r="H4" i="22"/>
  <c r="D12" i="22"/>
  <c r="J7" i="22"/>
  <c r="K11" i="22"/>
  <c r="D11" i="22"/>
  <c r="G8" i="22"/>
  <c r="K13" i="22"/>
  <c r="I7" i="22"/>
  <c r="G61" i="22"/>
  <c r="G72" i="22"/>
  <c r="G80" i="22"/>
  <c r="G88" i="22"/>
  <c r="G96" i="22"/>
  <c r="G104" i="22"/>
  <c r="G112" i="22"/>
  <c r="G120" i="22"/>
  <c r="G4" i="22"/>
  <c r="G63" i="22"/>
  <c r="G73" i="22"/>
  <c r="G81" i="22"/>
  <c r="G89" i="22"/>
  <c r="G97" i="22"/>
  <c r="G105" i="22"/>
  <c r="G113" i="22"/>
  <c r="G121" i="22"/>
  <c r="G12" i="22"/>
  <c r="G55" i="22"/>
  <c r="G47" i="22"/>
  <c r="G39" i="22"/>
  <c r="G31" i="22"/>
  <c r="G23" i="22"/>
  <c r="G15" i="22"/>
  <c r="G60" i="22"/>
  <c r="G52" i="22"/>
  <c r="G44" i="22"/>
  <c r="G36" i="22"/>
  <c r="G28" i="22"/>
  <c r="G20" i="22"/>
  <c r="J5" i="22"/>
  <c r="E8" i="22"/>
  <c r="J8" i="22"/>
  <c r="C13" i="22"/>
  <c r="E6" i="22"/>
  <c r="I6" i="22"/>
  <c r="K10" i="22"/>
  <c r="L10" i="22" s="1"/>
  <c r="L18" i="22"/>
  <c r="L17" i="22"/>
  <c r="L29" i="22"/>
  <c r="L37" i="22"/>
  <c r="L45" i="22"/>
  <c r="L53" i="22"/>
  <c r="L61" i="22"/>
  <c r="L69" i="22"/>
  <c r="L77" i="22"/>
  <c r="L85" i="22"/>
  <c r="L93" i="22"/>
  <c r="L101" i="22"/>
  <c r="L109" i="22"/>
  <c r="L117" i="22"/>
  <c r="L125" i="22"/>
  <c r="L23" i="22"/>
  <c r="L32" i="22"/>
  <c r="L40" i="22"/>
  <c r="L48" i="22"/>
  <c r="L56" i="22"/>
  <c r="L64" i="22"/>
  <c r="L72" i="22"/>
  <c r="L80" i="22"/>
  <c r="L88" i="22"/>
  <c r="L96" i="22"/>
  <c r="L104" i="22"/>
  <c r="L112" i="22"/>
  <c r="L133" i="22"/>
  <c r="L20" i="22"/>
  <c r="L21" i="22"/>
  <c r="L31" i="22"/>
  <c r="L39" i="22"/>
  <c r="L47" i="22"/>
  <c r="L55" i="22"/>
  <c r="L63" i="22"/>
  <c r="L71" i="22"/>
  <c r="L79" i="22"/>
  <c r="L87" i="22"/>
  <c r="L95" i="22"/>
  <c r="L103" i="22"/>
  <c r="P13" i="22"/>
  <c r="D8" i="22"/>
  <c r="I8" i="22"/>
  <c r="I14" i="22"/>
  <c r="H14" i="22"/>
  <c r="H9" i="22"/>
  <c r="J9" i="22"/>
  <c r="G9" i="22"/>
  <c r="F13" i="22"/>
  <c r="D133" i="22"/>
  <c r="C10" i="22"/>
  <c r="I10" i="22" s="1"/>
  <c r="G11" i="22"/>
  <c r="E12" i="22"/>
  <c r="I12" i="22"/>
  <c r="J12" i="22"/>
  <c r="J4" i="22"/>
  <c r="O11" i="22" l="1"/>
  <c r="M10" i="22"/>
  <c r="J10" i="22"/>
  <c r="H11" i="22"/>
  <c r="G10" i="22"/>
  <c r="O10" i="22"/>
  <c r="P10" i="22"/>
  <c r="J13" i="22"/>
  <c r="I11" i="22"/>
  <c r="L13" i="22"/>
  <c r="M13" i="22"/>
  <c r="M11" i="22"/>
  <c r="L11" i="22"/>
  <c r="G13" i="22"/>
  <c r="I13" i="22"/>
  <c r="E10" i="22"/>
  <c r="D10" i="22"/>
  <c r="E13" i="22"/>
  <c r="D13" i="22"/>
</calcChain>
</file>

<file path=xl/sharedStrings.xml><?xml version="1.0" encoding="utf-8"?>
<sst xmlns="http://schemas.openxmlformats.org/spreadsheetml/2006/main" count="621" uniqueCount="161">
  <si>
    <t>KOPĀ</t>
  </si>
  <si>
    <t>% no izdev</t>
  </si>
  <si>
    <t>% no IKP</t>
  </si>
  <si>
    <t>IKP milj. latu</t>
  </si>
  <si>
    <t>Funkcijas nosaukums</t>
  </si>
  <si>
    <t>03 Sabiedriskā kārtība un drošība</t>
  </si>
  <si>
    <t>04 Ekonomiskā darbība</t>
  </si>
  <si>
    <t>05 Vides aizsardzība</t>
  </si>
  <si>
    <t>07 Veselība</t>
  </si>
  <si>
    <t>08 Atpūta, kultūra un reliģija</t>
  </si>
  <si>
    <t>09 Izglītība</t>
  </si>
  <si>
    <t>10 Sociālā aizsardzība</t>
  </si>
  <si>
    <t>t.sk. transferti uz valsts speciālo budžetu</t>
  </si>
  <si>
    <t>06 Teritoriju un mājokļu apsaimniekošana</t>
  </si>
  <si>
    <t>Gadskārtējā valsts budžeta izpildes procesā pārdalāmais finansējums</t>
  </si>
  <si>
    <t>Dotācijas pašvaldībām</t>
  </si>
  <si>
    <t>Mērķdotācijas pašvaldībām</t>
  </si>
  <si>
    <t>Radio un televīzija</t>
  </si>
  <si>
    <t>Centrālā zemes komisija</t>
  </si>
  <si>
    <t>Centrālā vēlēšanu komisija</t>
  </si>
  <si>
    <t>Prokuratūra</t>
  </si>
  <si>
    <t>Satversmes tiesa</t>
  </si>
  <si>
    <t>Veselības ministrija</t>
  </si>
  <si>
    <t>Augstākā tiesa</t>
  </si>
  <si>
    <t>Valsts kontrole</t>
  </si>
  <si>
    <t>Kultūras ministrija</t>
  </si>
  <si>
    <t>Vides aizsardzības un reģionālās attīstības ministrija</t>
  </si>
  <si>
    <t>Tieslietu ministrija</t>
  </si>
  <si>
    <t>Labklājības ministrija</t>
  </si>
  <si>
    <t>Satiksmes ministrija</t>
  </si>
  <si>
    <t>Zemkopības ministrija</t>
  </si>
  <si>
    <t>Izglītības un zinātnes ministrija</t>
  </si>
  <si>
    <t>Iekšlietu ministrija</t>
  </si>
  <si>
    <t>Finanšu ministrija</t>
  </si>
  <si>
    <t>Ekonomikas ministrija</t>
  </si>
  <si>
    <t>Ārlietu ministrija</t>
  </si>
  <si>
    <t>Aizsardzības ministrija</t>
  </si>
  <si>
    <t>Tiesībsarga birojs</t>
  </si>
  <si>
    <t>Korupcijas novēršanas un apkarošanas birojs</t>
  </si>
  <si>
    <t>Ministru kabinets</t>
  </si>
  <si>
    <t>Saeima</t>
  </si>
  <si>
    <t>Valsts prezidenta kanceleja</t>
  </si>
  <si>
    <t>Ministrija, cita centrālā valsts iestāde</t>
  </si>
  <si>
    <t>t.sk. konsolidējamā  pozīcija -  transferts uz valsts pamatbudžetu</t>
  </si>
  <si>
    <t>t.sk. konsolidējamā  pozīcija - atmaksa valsts pamatbudžetā par ES fondu finansējumu</t>
  </si>
  <si>
    <t xml:space="preserve">Ekonomiskās klasifikācijas koda nosaukums
 </t>
  </si>
  <si>
    <t>Pamatkapitāla veidošana</t>
  </si>
  <si>
    <t>Kapitālie izdevumi</t>
  </si>
  <si>
    <t>Sociālie pabalsti</t>
  </si>
  <si>
    <t>Subsīdijas un dotācijas</t>
  </si>
  <si>
    <t>Subsīdijas, dotācijas un sociālie pabalsti</t>
  </si>
  <si>
    <t>Procentu izdevumi</t>
  </si>
  <si>
    <t>Preces un pakalpojumi</t>
  </si>
  <si>
    <t>Kārtējie izdevumi</t>
  </si>
  <si>
    <t>Uzturēšanas izdevumi</t>
  </si>
  <si>
    <t>01 Visparējie valdības dienesti</t>
  </si>
  <si>
    <t>Sabiedrības integrācijas fonds</t>
  </si>
  <si>
    <t>Izdevumi – kopā</t>
  </si>
  <si>
    <t>Atlīdzība</t>
  </si>
  <si>
    <t>Kārtējie maksājumi Eiropas Savienības budžetā un starptautiskā sadarbība</t>
  </si>
  <si>
    <t>Kārtējie maksājumi Eiropas Savienības budžetā</t>
  </si>
  <si>
    <t>Starptautiskā sadarbība</t>
  </si>
  <si>
    <t>Valsts budžeta uzturēšanas izdevumu transferti no valsts pamatbudžeta uz valsts speciālo budžetu</t>
  </si>
  <si>
    <t>Valsts budžeta uzturēšanas izdevumu transferti pašvaldībām noteiktam mērķim</t>
  </si>
  <si>
    <t>Valsts budžeta uzturēšanas izdevumu transferti pašvaldībām Eiropas Savienības politiku instrumentu un pārējās ārvalstu finanšu palīdzības līdzfinansētajiem projektiem (pasākumiem)</t>
  </si>
  <si>
    <t>Pārējie valsts budžeta uzturēšanas izdevumu transferti citiem budžetiem</t>
  </si>
  <si>
    <t>Pārējie valsts budžeta uzturēšanas izdevumu transferti pašvaldībām</t>
  </si>
  <si>
    <t>Valsts budžeta kapitālo izdevumu transferti pašvaldībām Eiropas Savienības politiku instrumentu un pārējās ārvalstu finanšu palīdzības līdzfinansētajiem projektiem (pasākumiem)</t>
  </si>
  <si>
    <t>Kapitālo izdevumu transferti</t>
  </si>
  <si>
    <t>Sabiedrisko pakalpojumu regulēšanas komisija</t>
  </si>
  <si>
    <t>Pārresoru koordinācijas centrs</t>
  </si>
  <si>
    <r>
      <t>2.1. Valsts pamatbudžeta izdevumi administratīvajā sadalījumā</t>
    </r>
    <r>
      <rPr>
        <i/>
        <sz val="12"/>
        <color indexed="8"/>
        <rFont val="Times New Roman Baltic"/>
        <charset val="186"/>
      </rPr>
      <t>, Ls</t>
    </r>
  </si>
  <si>
    <r>
      <t>2.2. Valsts speciālā budžeta  izdevumi administratīvajā sadalījumā</t>
    </r>
    <r>
      <rPr>
        <i/>
        <sz val="12"/>
        <color indexed="8"/>
        <rFont val="Times New Roman Baltic"/>
        <charset val="186"/>
      </rPr>
      <t>, Ls</t>
    </r>
  </si>
  <si>
    <t>2012.gada plāns</t>
  </si>
  <si>
    <t>Valsts budžeta kapitālo izdevumu transferti pašvaldībām noteiktam mērķim</t>
  </si>
  <si>
    <t>2013.gada projekts</t>
  </si>
  <si>
    <t>2013.gada projekts/ 2012.gada plāns</t>
  </si>
  <si>
    <t>2013.gada projekts / 2012.gada plāns - izmaiņas %</t>
  </si>
  <si>
    <t>Pamatbudžeta izdevumi - kopā (bruto)</t>
  </si>
  <si>
    <t>pamatfunkcijas</t>
  </si>
  <si>
    <t>ES politiku instrumenti</t>
  </si>
  <si>
    <t>Pamatbudžeta izdevumi - kopā (neto)</t>
  </si>
  <si>
    <t>01. Valsts prezidenta kanceleja</t>
  </si>
  <si>
    <t>02. Saeima</t>
  </si>
  <si>
    <t xml:space="preserve">03. Ministru kabinets           </t>
  </si>
  <si>
    <t xml:space="preserve">04. Korupcijas novēršanas un apkarošanas birojs </t>
  </si>
  <si>
    <t>05. Tiesībsarga birojs</t>
  </si>
  <si>
    <t>08. Sabiedrības integrācijas fonds</t>
  </si>
  <si>
    <t>09. Sabiedrisko pakalpojumu regulēšanas komisija</t>
  </si>
  <si>
    <t>10. Aizsardzības ministrija</t>
  </si>
  <si>
    <t xml:space="preserve">11. Ārlietu ministrija </t>
  </si>
  <si>
    <t>12. Ekonomikas ministrija</t>
  </si>
  <si>
    <t>13. Finanšu ministrija</t>
  </si>
  <si>
    <t>t.sk. 31.02. (Valsts parāda vadība)</t>
  </si>
  <si>
    <t>t.sk. 41.01. (Iemaksas EK budžetā)</t>
  </si>
  <si>
    <t xml:space="preserve">14. Iekšlietu ministrija </t>
  </si>
  <si>
    <t>15. Izglītības un zinātnes ministrija</t>
  </si>
  <si>
    <t xml:space="preserve">16. Zemkopības ministrija </t>
  </si>
  <si>
    <t>17. Satiksmes ministrija</t>
  </si>
  <si>
    <t xml:space="preserve">18. Labklājības ministrija </t>
  </si>
  <si>
    <t>19. Tieslietu ministrija</t>
  </si>
  <si>
    <t>21. Vides aizsardzības un reģionālās attīstības ministrija</t>
  </si>
  <si>
    <t>22. Kultūras ministrija</t>
  </si>
  <si>
    <t xml:space="preserve">24. Valsts kontrole </t>
  </si>
  <si>
    <t>25. Pārresoru koordinācijas centrs</t>
  </si>
  <si>
    <t xml:space="preserve">28. Augstākā tiesa </t>
  </si>
  <si>
    <t>29. Veselības ministrija</t>
  </si>
  <si>
    <t xml:space="preserve">30. Satversmes tiesa </t>
  </si>
  <si>
    <t xml:space="preserve">32. Prokuratūra </t>
  </si>
  <si>
    <t>35. Centrālā vēlēšanu komisija</t>
  </si>
  <si>
    <t xml:space="preserve">37. Centrālā zemes komisija </t>
  </si>
  <si>
    <t xml:space="preserve">47. Radio un televīzija </t>
  </si>
  <si>
    <t>62. Mērķdotācijas pašvaldībām</t>
  </si>
  <si>
    <t>64. Dotācija pašvaldībām</t>
  </si>
  <si>
    <t xml:space="preserve">74. Gadskārtējā valsts budžeta izpildes procesā pārdalāmais finansējums </t>
  </si>
  <si>
    <t>t.sk. 01.00. "Apropriācijas rezerve"</t>
  </si>
  <si>
    <t>t.sk.  02.00. "Līdzekļi neparedzētiem gadījumiem"</t>
  </si>
  <si>
    <t>t.sk.  03.00. "Latvijas Nacionālā eiro ieviešanas plāna pasākumi"</t>
  </si>
  <si>
    <t>t.sk. Latvijas prezidentūru ES Padomē 2015.gadā</t>
  </si>
  <si>
    <t>2014.gada projekts</t>
  </si>
  <si>
    <t>2015.gada projekts</t>
  </si>
  <si>
    <t>IKP milj. euro</t>
  </si>
  <si>
    <t>Pamatbudžeta izdevumi - kopā  (neto)</t>
  </si>
  <si>
    <t>18. Labklājības ministrija</t>
  </si>
  <si>
    <t>02 Aizsardzība*</t>
  </si>
  <si>
    <r>
      <t>5.3.1. Valsts konsolidētā budžeta izdevumi funkcionālā sadalījumā</t>
    </r>
    <r>
      <rPr>
        <b/>
        <i/>
        <sz val="14"/>
        <rFont val="Times New Roman Baltic"/>
        <charset val="186"/>
      </rPr>
      <t>, euro</t>
    </r>
  </si>
  <si>
    <t>5.3.1.1. Valsts pamatbudžeta izdevumi funkcionālā sadalījumā, euro</t>
  </si>
  <si>
    <t>5.3.1.2. Valsts speciālā budžeta izdevumi funkcionālā sadalījumā, euro</t>
  </si>
  <si>
    <r>
      <t xml:space="preserve">5.3.2. Valsts konsolidētā budžeta izdevumi administratīvajā sadalījumā, </t>
    </r>
    <r>
      <rPr>
        <b/>
        <i/>
        <sz val="12"/>
        <rFont val="Times New Roman Baltic"/>
        <charset val="186"/>
      </rPr>
      <t>euro</t>
    </r>
  </si>
  <si>
    <t>5.3.2.1. Valsts pamatbudžeta izdevumi administratīvajā sadalījumā, euro</t>
  </si>
  <si>
    <t xml:space="preserve">5.3.2.2. Valsts speciālā budžeta izdevumi administratīvajā sadalījumā, euro </t>
  </si>
  <si>
    <r>
      <t xml:space="preserve">5.3.3. Valsts konsolidētā budžeta izdevumi ekonomiskajās kategorijās, </t>
    </r>
    <r>
      <rPr>
        <b/>
        <i/>
        <sz val="12"/>
        <rFont val="Times New Roman Baltic"/>
        <charset val="186"/>
      </rPr>
      <t>euro</t>
    </r>
  </si>
  <si>
    <t>5.3.3.1. Valsts pamatbudžeta izdevumi ekonomiskajās kategorijās, euro</t>
  </si>
  <si>
    <t>Valsts budžeta kapitālo izdevumu transferti</t>
  </si>
  <si>
    <t>Valsts budžeta kapitālo izdevumu transferti no valsts pamatbudžeta uz valsts speciālo budžetu</t>
  </si>
  <si>
    <t>Pārējie valsts budžeta kapitālo izdevumu transferti citiem budžetiem</t>
  </si>
  <si>
    <t>Pārējie valsts budžeta transferti kapitālajiem izdevumiem valsts budžeta daļēji finansētām atvasinātām publiskām personām un budžeta nefinansētām iestādēm</t>
  </si>
  <si>
    <t>x</t>
  </si>
  <si>
    <r>
      <t xml:space="preserve">* Daļa no Aizsardzības ministrijas izdevumiem tiek attiecināti arī uz funkciju </t>
    </r>
    <r>
      <rPr>
        <i/>
        <sz val="11"/>
        <color indexed="8"/>
        <rFont val="Times New Roman Baltic"/>
        <charset val="186"/>
      </rPr>
      <t>10.Sociālā aizsardzība.</t>
    </r>
  </si>
  <si>
    <r>
      <t xml:space="preserve">* Daļa no Aizsardzības ministrijas izdevumiem tiek attiecināti arī uz funkciju </t>
    </r>
    <r>
      <rPr>
        <i/>
        <sz val="11"/>
        <color indexed="8"/>
        <rFont val="Times New Roman Baltic"/>
        <charset val="186"/>
      </rPr>
      <t>10.Sociālā aizsardzība</t>
    </r>
    <r>
      <rPr>
        <sz val="11"/>
        <color indexed="8"/>
        <rFont val="Times New Roman Baltic"/>
        <charset val="186"/>
      </rPr>
      <t>.</t>
    </r>
  </si>
  <si>
    <t>2018.gada plāns</t>
  </si>
  <si>
    <t>Pieaugums vai samazinājums 2019.gadā pret 2018.gada plānu (+,-)</t>
  </si>
  <si>
    <t>Pieaugums vai samazinājums 2019.gadā pret 2018.gada plānu (%)</t>
  </si>
  <si>
    <t>2020.gada prognoze</t>
  </si>
  <si>
    <t>2021.gada prognoze</t>
  </si>
  <si>
    <t>07 Veselība**</t>
  </si>
  <si>
    <r>
      <t xml:space="preserve">** Daļa no Veselības ministrijas izdevumiem tiek attiecināti arī uz funkciju </t>
    </r>
    <r>
      <rPr>
        <i/>
        <sz val="11"/>
        <color indexed="8"/>
        <rFont val="Times New Roman Baltic"/>
        <charset val="186"/>
      </rPr>
      <t>09.Izglītība.</t>
    </r>
  </si>
  <si>
    <t>t.sk. konsolidējamā pozīcija - transferts uz valsts pamatbudžetu</t>
  </si>
  <si>
    <t>Transferti viena budžeta veida ietvaros un uzturēšanas izdevumu transferti starp budžeta veidiem</t>
  </si>
  <si>
    <t>Valsts budžeta uzturēšanas izdevumu transferti citiem budžetiem Eiropas Savienības politiku instrumentu un pārējās ārvalstu finanšu palīdzības līdzfinansētajiem projektiem (pasākumiem)</t>
  </si>
  <si>
    <t>Valsts budžeta transferti valsts budžeta daļēji finansētām atvasinātām publiskām personām un budžeta nefinansētām iestādēm Eiropas Savienības politiku instrumentu un pārējās ārvalstu finanšu palīdzības līdzfinansētajiem projektiem (pasākumiem)</t>
  </si>
  <si>
    <t>Pārējie valsts budžeta uzturēšanas izdevumu transferti valsts budžeta daļēji finansētām atvasinātām publiskām personām un budžeta nefinansētajām iestādēm</t>
  </si>
  <si>
    <t>Valsts budžeta transferti kapitālajiem izdevumiem citiem budžetiem Eiropas Savienības politiku instrumentu un pārējās ārvalstu finanšu palīdzības līdzfinansētajiem projektiem (pasākumiem)</t>
  </si>
  <si>
    <t>Valsts budžeta kapitālo izdevumu transferti valsts budžeta daļēji finansētām atvasinātām publiskām personām un budžeta nefinansētām iestādēm Eiropas Savienības politiku instrumentu un pārējās ārvalstu finanšu palīdzības līdzfinansētajiem projektiem (pasākumiem)</t>
  </si>
  <si>
    <t>Pārējie valsts budžeta kapitālo izdevumu transferti pašvaldībām</t>
  </si>
  <si>
    <t>Valsts budžeta transferti un uzturēšanas izdevumu transferti</t>
  </si>
  <si>
    <t>Pārējie valsts budžeta uzturēšanas izdevumu transferti valsts budžeta daļēji finansētām atvasinātām publiskām personām un budžeta nefinansētām iestādēm</t>
  </si>
  <si>
    <t>5.3.3.2. Valsts speciālā budžeta izdevumi ekonomiskajās kategorijās, euro</t>
  </si>
  <si>
    <t>2019.gada plāns</t>
  </si>
  <si>
    <t>t.sk. 09.00. "Valsts nozīmes reformas īstenošanai"</t>
  </si>
  <si>
    <t>t.sk. 08.00. "Veselības aprūpes sist. reformas ieviešanas fin."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</si>
</sst>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\ ###\ ###"/>
    <numFmt numFmtId="166" formatCode="#,###,###"/>
    <numFmt numFmtId="167" formatCode="#,##0.0"/>
    <numFmt numFmtId="168" formatCode="00"/>
    <numFmt numFmtId="169" formatCode="#,###,##0.00"/>
  </numFmts>
  <fonts count="118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name val="BaltOptima"/>
      <charset val="186"/>
    </font>
    <font>
      <b/>
      <sz val="12"/>
      <name val="Times New Roman Baltic"/>
      <family val="1"/>
      <charset val="186"/>
    </font>
    <font>
      <i/>
      <sz val="12"/>
      <name val="Times New Roman Baltic"/>
      <family val="1"/>
      <charset val="186"/>
    </font>
    <font>
      <sz val="12"/>
      <name val="Times New Roman Baltic"/>
      <family val="1"/>
      <charset val="186"/>
    </font>
    <font>
      <b/>
      <sz val="12"/>
      <color indexed="8"/>
      <name val="Times New Roman Baltic"/>
      <family val="1"/>
      <charset val="186"/>
    </font>
    <font>
      <b/>
      <i/>
      <sz val="12"/>
      <color indexed="8"/>
      <name val="Times New Roman Baltic"/>
      <family val="1"/>
      <charset val="186"/>
    </font>
    <font>
      <i/>
      <sz val="11"/>
      <color indexed="8"/>
      <name val="Times New Roman Baltic"/>
      <family val="1"/>
      <charset val="186"/>
    </font>
    <font>
      <i/>
      <sz val="11"/>
      <name val="Times New Roman Baltic"/>
      <family val="1"/>
      <charset val="186"/>
    </font>
    <font>
      <b/>
      <sz val="12"/>
      <name val="Times New Roman Baltic"/>
      <charset val="186"/>
    </font>
    <font>
      <i/>
      <sz val="10"/>
      <color indexed="8"/>
      <name val="Times New Roman Baltic"/>
      <family val="1"/>
      <charset val="186"/>
    </font>
    <font>
      <i/>
      <sz val="12"/>
      <name val="Times New Roman Baltic"/>
      <charset val="186"/>
    </font>
    <font>
      <b/>
      <sz val="12"/>
      <color indexed="8"/>
      <name val="Times New Roman Baltic"/>
      <charset val="186"/>
    </font>
    <font>
      <sz val="10"/>
      <color indexed="8"/>
      <name val="Times New Roman"/>
      <family val="1"/>
      <charset val="186"/>
    </font>
    <font>
      <sz val="12"/>
      <color indexed="8"/>
      <name val="Times New Roman Baltic"/>
      <family val="1"/>
      <charset val="186"/>
    </font>
    <font>
      <sz val="10"/>
      <name val="BaltHelvetica"/>
    </font>
    <font>
      <sz val="10"/>
      <color indexed="8"/>
      <name val="Times New Roman Baltic"/>
      <family val="1"/>
      <charset val="186"/>
    </font>
    <font>
      <b/>
      <sz val="10"/>
      <color indexed="8"/>
      <name val="Times New Roman Baltic"/>
      <family val="1"/>
      <charset val="186"/>
    </font>
    <font>
      <i/>
      <sz val="10"/>
      <color indexed="8"/>
      <name val="Times New Roman Baltic"/>
      <charset val="186"/>
    </font>
    <font>
      <i/>
      <sz val="10"/>
      <name val="Times New Roman Baltic"/>
      <family val="1"/>
      <charset val="186"/>
    </font>
    <font>
      <sz val="11"/>
      <name val="Times New Roman Baltic"/>
      <charset val="186"/>
    </font>
    <font>
      <sz val="11"/>
      <name val="Times New Roman"/>
      <family val="1"/>
      <charset val="186"/>
    </font>
    <font>
      <sz val="11"/>
      <name val="Times New Roman Baltic"/>
      <family val="1"/>
      <charset val="186"/>
    </font>
    <font>
      <b/>
      <sz val="12"/>
      <name val="Times New Roman"/>
      <family val="1"/>
      <charset val="186"/>
    </font>
    <font>
      <sz val="11"/>
      <color indexed="8"/>
      <name val="Times New Roman Baltic"/>
      <charset val="186"/>
    </font>
    <font>
      <sz val="11"/>
      <color indexed="8"/>
      <name val="Times New Roman"/>
      <family val="1"/>
      <charset val="186"/>
    </font>
    <font>
      <sz val="11"/>
      <color indexed="8"/>
      <name val="Times New Roman Baltic"/>
      <family val="1"/>
      <charset val="186"/>
    </font>
    <font>
      <b/>
      <i/>
      <sz val="12"/>
      <name val="Times New Roman Baltic"/>
      <charset val="186"/>
    </font>
    <font>
      <b/>
      <i/>
      <sz val="12"/>
      <color indexed="8"/>
      <name val="Times New Roman Baltic"/>
      <charset val="186"/>
    </font>
    <font>
      <i/>
      <sz val="12"/>
      <color indexed="8"/>
      <name val="Times New Roman Baltic"/>
      <charset val="186"/>
    </font>
    <font>
      <b/>
      <sz val="14"/>
      <name val="Times New Roman Baltic"/>
      <charset val="186"/>
    </font>
    <font>
      <b/>
      <sz val="12"/>
      <color indexed="8"/>
      <name val="Times New Roman"/>
      <family val="1"/>
    </font>
    <font>
      <sz val="10"/>
      <name val="Helv"/>
    </font>
    <font>
      <b/>
      <sz val="10"/>
      <color indexed="8"/>
      <name val="Times New Roman"/>
      <family val="1"/>
      <charset val="186"/>
    </font>
    <font>
      <i/>
      <sz val="10"/>
      <color indexed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Times New Roman"/>
      <family val="1"/>
    </font>
    <font>
      <i/>
      <sz val="10"/>
      <color indexed="17"/>
      <name val="Times New Roman"/>
      <family val="1"/>
      <charset val="186"/>
    </font>
    <font>
      <i/>
      <sz val="10"/>
      <color indexed="30"/>
      <name val="Times New Roman"/>
      <family val="1"/>
      <charset val="186"/>
    </font>
    <font>
      <sz val="12"/>
      <name val="Times New Roman Baltic"/>
      <charset val="186"/>
    </font>
    <font>
      <sz val="10"/>
      <name val="Times New Roman Baltic"/>
      <family val="1"/>
      <charset val="186"/>
    </font>
    <font>
      <b/>
      <sz val="10"/>
      <color indexed="8"/>
      <name val="Times New Roman"/>
      <family val="1"/>
    </font>
    <font>
      <b/>
      <i/>
      <sz val="10"/>
      <color indexed="8"/>
      <name val="Times New Roman Baltic"/>
      <family val="1"/>
      <charset val="186"/>
    </font>
    <font>
      <b/>
      <i/>
      <sz val="10"/>
      <color indexed="8"/>
      <name val="Times New Roman Baltic"/>
      <charset val="186"/>
    </font>
    <font>
      <i/>
      <sz val="10"/>
      <name val="Times New Roman Baltic"/>
      <charset val="186"/>
    </font>
    <font>
      <b/>
      <sz val="11"/>
      <name val="Times New Roman Baltic"/>
      <charset val="186"/>
    </font>
    <font>
      <sz val="10"/>
      <color theme="1"/>
      <name val="Arial"/>
      <family val="2"/>
      <charset val="186"/>
    </font>
    <font>
      <sz val="12"/>
      <color rgb="FFFF0000"/>
      <name val="Times New Roman Baltic"/>
      <family val="1"/>
      <charset val="186"/>
    </font>
    <font>
      <b/>
      <i/>
      <sz val="10"/>
      <color rgb="FF0070C0"/>
      <name val="Times New Roman"/>
      <family val="1"/>
      <charset val="186"/>
    </font>
    <font>
      <i/>
      <sz val="10"/>
      <color rgb="FF00B050"/>
      <name val="Times New Roman"/>
      <family val="1"/>
      <charset val="186"/>
    </font>
    <font>
      <b/>
      <i/>
      <sz val="10"/>
      <color rgb="FF00B050"/>
      <name val="Times New Roman"/>
      <family val="1"/>
      <charset val="186"/>
    </font>
    <font>
      <b/>
      <i/>
      <sz val="10"/>
      <color rgb="FFFF0000"/>
      <name val="Times New Roman"/>
      <family val="1"/>
      <charset val="186"/>
    </font>
    <font>
      <i/>
      <sz val="10"/>
      <color rgb="FF0070C0"/>
      <name val="Times New Roman"/>
      <family val="1"/>
      <charset val="186"/>
    </font>
    <font>
      <i/>
      <sz val="10"/>
      <color rgb="FF0070C0"/>
      <name val="Times New Roman"/>
      <family val="1"/>
    </font>
    <font>
      <b/>
      <i/>
      <sz val="10"/>
      <color rgb="FF0070C0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0"/>
      <color rgb="FF00B050"/>
      <name val="Times New Roman"/>
      <family val="1"/>
    </font>
    <font>
      <i/>
      <sz val="10"/>
      <color rgb="FF00B050"/>
      <name val="Times New Roman"/>
      <family val="1"/>
    </font>
    <font>
      <i/>
      <sz val="10"/>
      <color rgb="FFFF0000"/>
      <name val="Times New Roman"/>
      <family val="1"/>
    </font>
    <font>
      <i/>
      <sz val="10"/>
      <color rgb="FFFF0000"/>
      <name val="Times New Roman Baltic"/>
      <charset val="186"/>
    </font>
    <font>
      <i/>
      <sz val="10"/>
      <color rgb="FFFF0000"/>
      <name val="Times New Roman"/>
      <family val="1"/>
      <charset val="186"/>
    </font>
    <font>
      <b/>
      <i/>
      <sz val="10"/>
      <color rgb="FFFF0000"/>
      <name val="Times New Roman Baltic"/>
      <charset val="186"/>
    </font>
    <font>
      <b/>
      <i/>
      <sz val="10"/>
      <color rgb="FF0070C0"/>
      <name val="Times New Roman Baltic"/>
      <charset val="186"/>
    </font>
    <font>
      <sz val="12"/>
      <color rgb="FF0070C0"/>
      <name val="Times New Roman Baltic"/>
      <family val="1"/>
      <charset val="186"/>
    </font>
    <font>
      <i/>
      <sz val="10"/>
      <color rgb="FF0070C0"/>
      <name val="Times New Roman Baltic"/>
      <charset val="186"/>
    </font>
    <font>
      <b/>
      <sz val="12"/>
      <color indexed="8"/>
      <name val="Times New Roman"/>
      <family val="1"/>
      <charset val="186"/>
    </font>
    <font>
      <sz val="10"/>
      <name val="Times New Roman Baltic"/>
      <charset val="186"/>
    </font>
    <font>
      <b/>
      <sz val="10"/>
      <name val="Times New Roman Baltic"/>
      <charset val="186"/>
    </font>
    <font>
      <sz val="10"/>
      <color indexed="8"/>
      <name val="Times New Roman Baltic"/>
      <charset val="186"/>
    </font>
    <font>
      <i/>
      <sz val="10"/>
      <color rgb="FF0070C0"/>
      <name val="Times New Roman Baltic"/>
      <family val="1"/>
      <charset val="186"/>
    </font>
    <font>
      <i/>
      <sz val="12"/>
      <color rgb="FF0070C0"/>
      <name val="Times New Roman Baltic"/>
      <charset val="186"/>
    </font>
    <font>
      <b/>
      <sz val="10"/>
      <color indexed="8"/>
      <name val="Times New Roman Baltic"/>
      <charset val="186"/>
    </font>
    <font>
      <sz val="12"/>
      <color rgb="FFFF0000"/>
      <name val="Times New Roman Baltic"/>
      <charset val="186"/>
    </font>
    <font>
      <i/>
      <sz val="12"/>
      <color rgb="FFFF0000"/>
      <name val="Times New Roman Baltic"/>
      <charset val="186"/>
    </font>
    <font>
      <b/>
      <i/>
      <sz val="12"/>
      <color rgb="FFFF0000"/>
      <name val="Times New Roman Baltic"/>
      <charset val="186"/>
    </font>
    <font>
      <b/>
      <i/>
      <sz val="12"/>
      <color rgb="FF0070C0"/>
      <name val="Times New Roman Baltic"/>
      <charset val="186"/>
    </font>
    <font>
      <b/>
      <sz val="12"/>
      <color rgb="FF0070C0"/>
      <name val="Times New Roman Baltic"/>
      <charset val="186"/>
    </font>
    <font>
      <i/>
      <sz val="12"/>
      <color rgb="FFFF0000"/>
      <name val="Times New Roman Baltic"/>
      <family val="1"/>
      <charset val="186"/>
    </font>
    <font>
      <i/>
      <sz val="12"/>
      <color rgb="FF0070C0"/>
      <name val="Times New Roman Baltic"/>
      <family val="1"/>
      <charset val="186"/>
    </font>
    <font>
      <i/>
      <sz val="10"/>
      <name val="Times New Roman"/>
      <family val="1"/>
    </font>
    <font>
      <i/>
      <sz val="10"/>
      <name val="Times New Roman"/>
      <family val="1"/>
      <charset val="186"/>
    </font>
    <font>
      <sz val="10"/>
      <name val="Arial"/>
      <family val="2"/>
    </font>
    <font>
      <i/>
      <sz val="11"/>
      <color indexed="8"/>
      <name val="Times New Roman Baltic"/>
      <charset val="186"/>
    </font>
    <font>
      <sz val="11"/>
      <color indexed="8"/>
      <name val="Times New Roman"/>
      <family val="1"/>
    </font>
    <font>
      <b/>
      <sz val="10"/>
      <name val="Times New Roman Baltic"/>
      <family val="1"/>
      <charset val="186"/>
    </font>
    <font>
      <b/>
      <i/>
      <sz val="10"/>
      <name val="Times New Roman Baltic"/>
      <family val="1"/>
      <charset val="186"/>
    </font>
    <font>
      <b/>
      <i/>
      <sz val="12"/>
      <color rgb="FFFF0000"/>
      <name val="Times New Roman Baltic"/>
      <family val="1"/>
      <charset val="186"/>
    </font>
    <font>
      <b/>
      <i/>
      <sz val="14"/>
      <name val="Times New Roman Baltic"/>
      <charset val="186"/>
    </font>
    <font>
      <b/>
      <i/>
      <sz val="10"/>
      <name val="Times New Roman Baltic"/>
      <charset val="186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1"/>
      <name val="Times New Roman"/>
      <family val="1"/>
    </font>
    <font>
      <sz val="10"/>
      <name val="Arial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9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4"/>
      </patternFill>
    </fill>
    <fill>
      <patternFill patternType="solid">
        <fgColor indexed="15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18">
    <xf numFmtId="0" fontId="0" fillId="0" borderId="0"/>
    <xf numFmtId="0" fontId="48" fillId="0" borderId="0"/>
    <xf numFmtId="0" fontId="1" fillId="0" borderId="0"/>
    <xf numFmtId="0" fontId="2" fillId="0" borderId="0"/>
    <xf numFmtId="0" fontId="1" fillId="0" borderId="0"/>
    <xf numFmtId="0" fontId="48" fillId="0" borderId="0"/>
    <xf numFmtId="0" fontId="16" fillId="0" borderId="0"/>
    <xf numFmtId="0" fontId="36" fillId="0" borderId="0" applyNumberFormat="0" applyProtection="0">
      <alignment horizontal="left" vertical="center" wrapText="1" indent="1" shrinkToFit="1"/>
    </xf>
    <xf numFmtId="4" fontId="14" fillId="0" borderId="1" applyNumberFormat="0" applyProtection="0">
      <alignment horizontal="right" vertical="center"/>
    </xf>
    <xf numFmtId="4" fontId="14" fillId="0" borderId="0" applyNumberFormat="0" applyProtection="0">
      <alignment horizontal="right" vertical="center" wrapText="1" shrinkToFit="1"/>
    </xf>
    <xf numFmtId="4" fontId="14" fillId="0" borderId="0" applyNumberFormat="0" applyProtection="0">
      <alignment horizontal="left" wrapText="1" indent="1" shrinkToFit="1"/>
    </xf>
    <xf numFmtId="0" fontId="33" fillId="0" borderId="0"/>
    <xf numFmtId="0" fontId="36" fillId="0" borderId="0" applyNumberFormat="0" applyProtection="0">
      <alignment horizontal="left" wrapText="1" indent="1" shrinkToFit="1"/>
    </xf>
    <xf numFmtId="4" fontId="14" fillId="0" borderId="0" applyNumberFormat="0" applyProtection="0">
      <alignment horizontal="left" wrapText="1" indent="1"/>
    </xf>
    <xf numFmtId="0" fontId="83" fillId="0" borderId="0"/>
    <xf numFmtId="4" fontId="14" fillId="5" borderId="12" applyNumberFormat="0" applyFill="0" applyProtection="0">
      <alignment vertical="center"/>
    </xf>
    <xf numFmtId="0" fontId="92" fillId="0" borderId="0"/>
    <xf numFmtId="0" fontId="94" fillId="0" borderId="0"/>
    <xf numFmtId="0" fontId="95" fillId="14" borderId="0" applyNumberFormat="0" applyBorder="0" applyAlignment="0" applyProtection="0"/>
    <xf numFmtId="0" fontId="96" fillId="15" borderId="0" applyNumberFormat="0" applyBorder="0" applyAlignment="0" applyProtection="0"/>
    <xf numFmtId="0" fontId="96" fillId="16" borderId="0" applyNumberFormat="0" applyBorder="0" applyAlignment="0" applyProtection="0"/>
    <xf numFmtId="0" fontId="95" fillId="17" borderId="0" applyNumberFormat="0" applyBorder="0" applyAlignment="0" applyProtection="0"/>
    <xf numFmtId="0" fontId="95" fillId="18" borderId="0" applyNumberFormat="0" applyBorder="0" applyAlignment="0" applyProtection="0"/>
    <xf numFmtId="0" fontId="96" fillId="19" borderId="0" applyNumberFormat="0" applyBorder="0" applyAlignment="0" applyProtection="0"/>
    <xf numFmtId="0" fontId="96" fillId="20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23" borderId="0" applyNumberFormat="0" applyBorder="0" applyAlignment="0" applyProtection="0"/>
    <xf numFmtId="0" fontId="95" fillId="24" borderId="0" applyNumberFormat="0" applyBorder="0" applyAlignment="0" applyProtection="0"/>
    <xf numFmtId="0" fontId="95" fillId="25" borderId="0" applyNumberFormat="0" applyBorder="0" applyAlignment="0" applyProtection="0"/>
    <xf numFmtId="0" fontId="96" fillId="23" borderId="0" applyNumberFormat="0" applyBorder="0" applyAlignment="0" applyProtection="0"/>
    <xf numFmtId="0" fontId="96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6" borderId="0" applyNumberFormat="0" applyBorder="0" applyAlignment="0" applyProtection="0"/>
    <xf numFmtId="0" fontId="96" fillId="15" borderId="0" applyNumberFormat="0" applyBorder="0" applyAlignment="0" applyProtection="0"/>
    <xf numFmtId="0" fontId="96" fillId="16" borderId="0" applyNumberFormat="0" applyBorder="0" applyAlignment="0" applyProtection="0"/>
    <xf numFmtId="0" fontId="95" fillId="16" borderId="0" applyNumberFormat="0" applyBorder="0" applyAlignment="0" applyProtection="0"/>
    <xf numFmtId="0" fontId="95" fillId="27" borderId="0" applyNumberFormat="0" applyBorder="0" applyAlignment="0" applyProtection="0"/>
    <xf numFmtId="0" fontId="96" fillId="28" borderId="0" applyNumberFormat="0" applyBorder="0" applyAlignment="0" applyProtection="0"/>
    <xf numFmtId="0" fontId="96" fillId="20" borderId="0" applyNumberFormat="0" applyBorder="0" applyAlignment="0" applyProtection="0"/>
    <xf numFmtId="0" fontId="95" fillId="29" borderId="0" applyNumberFormat="0" applyBorder="0" applyAlignment="0" applyProtection="0"/>
    <xf numFmtId="0" fontId="97" fillId="20" borderId="0" applyNumberFormat="0" applyBorder="0" applyAlignment="0" applyProtection="0"/>
    <xf numFmtId="0" fontId="98" fillId="30" borderId="13" applyNumberFormat="0" applyAlignment="0" applyProtection="0"/>
    <xf numFmtId="0" fontId="99" fillId="21" borderId="14" applyNumberFormat="0" applyAlignment="0" applyProtection="0"/>
    <xf numFmtId="0" fontId="100" fillId="31" borderId="0" applyNumberFormat="0" applyBorder="0" applyAlignment="0" applyProtection="0"/>
    <xf numFmtId="0" fontId="100" fillId="32" borderId="0" applyNumberFormat="0" applyBorder="0" applyAlignment="0" applyProtection="0"/>
    <xf numFmtId="0" fontId="100" fillId="33" borderId="0" applyNumberFormat="0" applyBorder="0" applyAlignment="0" applyProtection="0"/>
    <xf numFmtId="0" fontId="101" fillId="34" borderId="0" applyNumberFormat="0" applyBorder="0" applyAlignment="0" applyProtection="0"/>
    <xf numFmtId="0" fontId="102" fillId="0" borderId="15" applyNumberFormat="0" applyFill="0" applyAlignment="0" applyProtection="0"/>
    <xf numFmtId="0" fontId="103" fillId="0" borderId="16" applyNumberFormat="0" applyFill="0" applyAlignment="0" applyProtection="0"/>
    <xf numFmtId="0" fontId="104" fillId="0" borderId="17" applyNumberFormat="0" applyFill="0" applyAlignment="0" applyProtection="0"/>
    <xf numFmtId="0" fontId="104" fillId="0" borderId="0" applyNumberFormat="0" applyFill="0" applyBorder="0" applyAlignment="0" applyProtection="0"/>
    <xf numFmtId="0" fontId="105" fillId="29" borderId="13" applyNumberFormat="0" applyAlignment="0" applyProtection="0"/>
    <xf numFmtId="0" fontId="106" fillId="0" borderId="18" applyNumberFormat="0" applyFill="0" applyAlignment="0" applyProtection="0"/>
    <xf numFmtId="0" fontId="107" fillId="29" borderId="0" applyNumberFormat="0" applyBorder="0" applyAlignment="0" applyProtection="0"/>
    <xf numFmtId="0" fontId="92" fillId="28" borderId="19" applyNumberFormat="0" applyFont="0" applyAlignment="0" applyProtection="0"/>
    <xf numFmtId="0" fontId="108" fillId="30" borderId="20" applyNumberFormat="0" applyAlignment="0" applyProtection="0"/>
    <xf numFmtId="4" fontId="109" fillId="5" borderId="12" applyNumberFormat="0" applyProtection="0">
      <alignment vertical="center"/>
    </xf>
    <xf numFmtId="4" fontId="110" fillId="5" borderId="12" applyNumberFormat="0" applyProtection="0">
      <alignment vertical="center"/>
    </xf>
    <xf numFmtId="4" fontId="109" fillId="5" borderId="12" applyNumberFormat="0" applyProtection="0">
      <alignment horizontal="left" vertical="center" indent="1"/>
    </xf>
    <xf numFmtId="0" fontId="109" fillId="5" borderId="12" applyNumberFormat="0" applyProtection="0">
      <alignment horizontal="left" vertical="top" indent="1"/>
    </xf>
    <xf numFmtId="4" fontId="109" fillId="0" borderId="3" applyNumberFormat="0" applyProtection="0">
      <alignment horizontal="left" vertical="center" wrapText="1" indent="1" shrinkToFit="1"/>
    </xf>
    <xf numFmtId="4" fontId="111" fillId="7" borderId="12" applyNumberFormat="0" applyProtection="0">
      <alignment horizontal="right" vertical="center"/>
    </xf>
    <xf numFmtId="4" fontId="111" fillId="13" borderId="12" applyNumberFormat="0" applyProtection="0">
      <alignment horizontal="right" vertical="center"/>
    </xf>
    <xf numFmtId="4" fontId="111" fillId="35" borderId="12" applyNumberFormat="0" applyProtection="0">
      <alignment horizontal="right" vertical="center"/>
    </xf>
    <xf numFmtId="4" fontId="111" fillId="36" borderId="12" applyNumberFormat="0" applyProtection="0">
      <alignment horizontal="right" vertical="center"/>
    </xf>
    <xf numFmtId="4" fontId="111" fillId="37" borderId="12" applyNumberFormat="0" applyProtection="0">
      <alignment horizontal="right" vertical="center"/>
    </xf>
    <xf numFmtId="4" fontId="111" fillId="38" borderId="12" applyNumberFormat="0" applyProtection="0">
      <alignment horizontal="right" vertical="center"/>
    </xf>
    <xf numFmtId="4" fontId="111" fillId="12" borderId="12" applyNumberFormat="0" applyProtection="0">
      <alignment horizontal="right" vertical="center"/>
    </xf>
    <xf numFmtId="4" fontId="111" fillId="39" borderId="12" applyNumberFormat="0" applyProtection="0">
      <alignment horizontal="right" vertical="center"/>
    </xf>
    <xf numFmtId="4" fontId="111" fillId="40" borderId="12" applyNumberFormat="0" applyProtection="0">
      <alignment horizontal="right" vertical="center"/>
    </xf>
    <xf numFmtId="4" fontId="109" fillId="41" borderId="21" applyNumberFormat="0" applyProtection="0">
      <alignment horizontal="left" vertical="center" indent="1"/>
    </xf>
    <xf numFmtId="4" fontId="111" fillId="6" borderId="0" applyNumberFormat="0" applyProtection="0">
      <alignment horizontal="left" vertical="center" indent="1"/>
    </xf>
    <xf numFmtId="4" fontId="112" fillId="11" borderId="0" applyNumberFormat="0" applyProtection="0">
      <alignment horizontal="left" vertical="center" indent="1"/>
    </xf>
    <xf numFmtId="4" fontId="111" fillId="10" borderId="12" applyNumberFormat="0" applyProtection="0">
      <alignment horizontal="right" vertical="center"/>
    </xf>
    <xf numFmtId="4" fontId="1" fillId="6" borderId="0" applyNumberFormat="0" applyProtection="0">
      <alignment horizontal="left" vertical="center" indent="1"/>
    </xf>
    <xf numFmtId="4" fontId="1" fillId="10" borderId="0" applyNumberFormat="0" applyProtection="0">
      <alignment horizontal="left" vertical="center" indent="1"/>
    </xf>
    <xf numFmtId="0" fontId="36" fillId="0" borderId="1" applyNumberFormat="0" applyProtection="0">
      <alignment horizontal="left" vertical="center" wrapText="1" indent="1" shrinkToFit="1"/>
    </xf>
    <xf numFmtId="0" fontId="92" fillId="11" borderId="12" applyNumberFormat="0" applyProtection="0">
      <alignment horizontal="left" vertical="top" indent="1"/>
    </xf>
    <xf numFmtId="0" fontId="36" fillId="0" borderId="1" applyNumberFormat="0" applyProtection="0">
      <alignment horizontal="left" vertical="center" indent="1"/>
    </xf>
    <xf numFmtId="0" fontId="92" fillId="10" borderId="12" applyNumberFormat="0" applyProtection="0">
      <alignment horizontal="left" vertical="top" indent="1"/>
    </xf>
    <xf numFmtId="0" fontId="36" fillId="0" borderId="1" applyNumberFormat="0" applyProtection="0">
      <alignment horizontal="left" vertical="center" indent="1"/>
    </xf>
    <xf numFmtId="0" fontId="92" fillId="42" borderId="12" applyNumberFormat="0" applyProtection="0">
      <alignment horizontal="left" vertical="top" indent="1"/>
    </xf>
    <xf numFmtId="0" fontId="36" fillId="0" borderId="1" applyNumberFormat="0" applyProtection="0">
      <alignment horizontal="left" vertical="center" indent="1"/>
    </xf>
    <xf numFmtId="0" fontId="92" fillId="6" borderId="12" applyNumberFormat="0" applyProtection="0">
      <alignment horizontal="left" vertical="top" indent="1"/>
    </xf>
    <xf numFmtId="0" fontId="92" fillId="8" borderId="3" applyNumberFormat="0">
      <protection locked="0"/>
    </xf>
    <xf numFmtId="4" fontId="111" fillId="9" borderId="12" applyNumberFormat="0" applyProtection="0">
      <alignment vertical="center"/>
    </xf>
    <xf numFmtId="4" fontId="113" fillId="9" borderId="12" applyNumberFormat="0" applyProtection="0">
      <alignment vertical="center"/>
    </xf>
    <xf numFmtId="4" fontId="111" fillId="9" borderId="12" applyNumberFormat="0" applyProtection="0">
      <alignment horizontal="left" vertical="center" indent="1"/>
    </xf>
    <xf numFmtId="0" fontId="111" fillId="9" borderId="12" applyNumberFormat="0" applyProtection="0">
      <alignment horizontal="left" vertical="top" indent="1"/>
    </xf>
    <xf numFmtId="4" fontId="113" fillId="6" borderId="12" applyNumberFormat="0" applyProtection="0">
      <alignment horizontal="right" vertical="center"/>
    </xf>
    <xf numFmtId="4" fontId="14" fillId="0" borderId="3" applyNumberFormat="0" applyProtection="0">
      <alignment horizontal="left" vertical="center" wrapText="1" indent="1" shrinkToFit="1"/>
    </xf>
    <xf numFmtId="0" fontId="111" fillId="10" borderId="12" applyNumberFormat="0" applyProtection="0">
      <alignment horizontal="left" vertical="top" indent="1"/>
    </xf>
    <xf numFmtId="4" fontId="114" fillId="43" borderId="0" applyNumberFormat="0" applyProtection="0">
      <alignment horizontal="left" vertical="center" indent="1"/>
    </xf>
    <xf numFmtId="4" fontId="115" fillId="6" borderId="12" applyNumberFormat="0" applyProtection="0">
      <alignment horizontal="right" vertical="center"/>
    </xf>
    <xf numFmtId="0" fontId="116" fillId="0" borderId="0" applyNumberFormat="0" applyFill="0" applyBorder="0" applyAlignment="0" applyProtection="0"/>
    <xf numFmtId="0" fontId="100" fillId="0" borderId="22" applyNumberFormat="0" applyFill="0" applyAlignment="0" applyProtection="0"/>
    <xf numFmtId="0" fontId="117" fillId="0" borderId="0" applyNumberFormat="0" applyFill="0" applyBorder="0" applyAlignment="0" applyProtection="0"/>
    <xf numFmtId="0" fontId="95" fillId="14" borderId="0" applyNumberFormat="0" applyBorder="0" applyAlignment="0" applyProtection="0"/>
    <xf numFmtId="0" fontId="95" fillId="18" borderId="0" applyNumberFormat="0" applyBorder="0" applyAlignment="0" applyProtection="0"/>
    <xf numFmtId="0" fontId="95" fillId="21" borderId="0" applyNumberFormat="0" applyBorder="0" applyAlignment="0" applyProtection="0"/>
    <xf numFmtId="0" fontId="36" fillId="0" borderId="3" applyNumberFormat="0" applyProtection="0">
      <alignment horizontal="left" vertical="center" indent="1"/>
    </xf>
    <xf numFmtId="0" fontId="95" fillId="25" borderId="0" applyNumberFormat="0" applyBorder="0" applyAlignment="0" applyProtection="0"/>
    <xf numFmtId="0" fontId="95" fillId="26" borderId="0" applyNumberFormat="0" applyBorder="0" applyAlignment="0" applyProtection="0"/>
    <xf numFmtId="0" fontId="95" fillId="27" borderId="0" applyNumberFormat="0" applyBorder="0" applyAlignment="0" applyProtection="0"/>
    <xf numFmtId="4" fontId="109" fillId="0" borderId="23" applyNumberFormat="0" applyProtection="0">
      <alignment horizontal="left" vertical="center" wrapText="1" indent="1" shrinkToFit="1"/>
    </xf>
    <xf numFmtId="0" fontId="95" fillId="27" borderId="0" applyNumberFormat="0" applyBorder="0" applyAlignment="0" applyProtection="0"/>
    <xf numFmtId="0" fontId="95" fillId="26" borderId="0" applyNumberFormat="0" applyBorder="0" applyAlignment="0" applyProtection="0"/>
    <xf numFmtId="0" fontId="36" fillId="0" borderId="3" applyNumberFormat="0" applyProtection="0">
      <alignment horizontal="left" vertical="center" wrapText="1" indent="1" shrinkToFit="1"/>
    </xf>
    <xf numFmtId="0" fontId="36" fillId="0" borderId="12" applyNumberFormat="0" applyProtection="0">
      <alignment horizontal="left" vertical="center" indent="1"/>
    </xf>
    <xf numFmtId="0" fontId="36" fillId="0" borderId="12" applyNumberFormat="0" applyProtection="0">
      <alignment horizontal="left" vertical="center" indent="1"/>
    </xf>
    <xf numFmtId="0" fontId="36" fillId="0" borderId="12" applyNumberFormat="0" applyProtection="0">
      <alignment horizontal="left" vertical="center" indent="1"/>
    </xf>
    <xf numFmtId="0" fontId="95" fillId="25" borderId="0" applyNumberFormat="0" applyBorder="0" applyAlignment="0" applyProtection="0"/>
    <xf numFmtId="0" fontId="95" fillId="21" borderId="0" applyNumberFormat="0" applyBorder="0" applyAlignment="0" applyProtection="0"/>
    <xf numFmtId="4" fontId="14" fillId="0" borderId="1" applyNumberFormat="0" applyProtection="0">
      <alignment horizontal="right" vertical="center" wrapText="1" shrinkToFit="1"/>
    </xf>
    <xf numFmtId="0" fontId="95" fillId="18" borderId="0" applyNumberFormat="0" applyBorder="0" applyAlignment="0" applyProtection="0"/>
    <xf numFmtId="0" fontId="95" fillId="14" borderId="0" applyNumberFormat="0" applyBorder="0" applyAlignment="0" applyProtection="0"/>
  </cellStyleXfs>
  <cellXfs count="363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166" fontId="5" fillId="0" borderId="0" xfId="0" applyNumberFormat="1" applyFont="1"/>
    <xf numFmtId="0" fontId="7" fillId="0" borderId="2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164" fontId="5" fillId="0" borderId="0" xfId="0" applyNumberFormat="1" applyFont="1" applyFill="1"/>
    <xf numFmtId="0" fontId="5" fillId="0" borderId="4" xfId="0" applyFont="1" applyBorder="1" applyAlignment="1">
      <alignment wrapText="1"/>
    </xf>
    <xf numFmtId="166" fontId="5" fillId="0" borderId="4" xfId="0" applyNumberFormat="1" applyFont="1" applyBorder="1"/>
    <xf numFmtId="167" fontId="5" fillId="0" borderId="4" xfId="0" applyNumberFormat="1" applyFont="1" applyBorder="1"/>
    <xf numFmtId="164" fontId="5" fillId="0" borderId="4" xfId="0" applyNumberFormat="1" applyFont="1" applyBorder="1"/>
    <xf numFmtId="0" fontId="8" fillId="0" borderId="5" xfId="0" applyFont="1" applyBorder="1" applyAlignment="1">
      <alignment horizontal="right" wrapText="1"/>
    </xf>
    <xf numFmtId="167" fontId="5" fillId="0" borderId="5" xfId="0" applyNumberFormat="1" applyFont="1" applyBorder="1"/>
    <xf numFmtId="166" fontId="5" fillId="0" borderId="5" xfId="0" applyNumberFormat="1" applyFont="1" applyBorder="1"/>
    <xf numFmtId="164" fontId="5" fillId="0" borderId="5" xfId="0" applyNumberFormat="1" applyFont="1" applyBorder="1"/>
    <xf numFmtId="0" fontId="5" fillId="0" borderId="5" xfId="0" applyFont="1" applyBorder="1" applyAlignment="1">
      <alignment wrapText="1"/>
    </xf>
    <xf numFmtId="166" fontId="5" fillId="0" borderId="5" xfId="0" applyNumberFormat="1" applyFont="1" applyFill="1" applyBorder="1"/>
    <xf numFmtId="0" fontId="5" fillId="0" borderId="5" xfId="0" applyFont="1" applyFill="1" applyBorder="1" applyAlignment="1">
      <alignment wrapText="1"/>
    </xf>
    <xf numFmtId="167" fontId="10" fillId="2" borderId="3" xfId="3" applyNumberFormat="1" applyFont="1" applyFill="1" applyBorder="1" applyAlignment="1">
      <alignment wrapText="1"/>
    </xf>
    <xf numFmtId="166" fontId="10" fillId="2" borderId="3" xfId="0" applyNumberFormat="1" applyFont="1" applyFill="1" applyBorder="1" applyAlignment="1">
      <alignment wrapText="1"/>
    </xf>
    <xf numFmtId="164" fontId="10" fillId="2" borderId="3" xfId="0" applyNumberFormat="1" applyFont="1" applyFill="1" applyBorder="1" applyAlignment="1">
      <alignment wrapText="1"/>
    </xf>
    <xf numFmtId="0" fontId="5" fillId="0" borderId="0" xfId="0" applyFont="1" applyAlignment="1"/>
    <xf numFmtId="166" fontId="5" fillId="0" borderId="0" xfId="0" applyNumberFormat="1" applyFont="1" applyAlignment="1"/>
    <xf numFmtId="166" fontId="5" fillId="0" borderId="4" xfId="0" applyNumberFormat="1" applyFont="1" applyFill="1" applyBorder="1" applyAlignment="1"/>
    <xf numFmtId="167" fontId="5" fillId="0" borderId="4" xfId="0" applyNumberFormat="1" applyFont="1" applyBorder="1" applyAlignment="1"/>
    <xf numFmtId="164" fontId="5" fillId="0" borderId="0" xfId="0" applyNumberFormat="1" applyFont="1" applyAlignment="1"/>
    <xf numFmtId="166" fontId="5" fillId="0" borderId="5" xfId="0" applyNumberFormat="1" applyFont="1" applyFill="1" applyBorder="1" applyAlignment="1"/>
    <xf numFmtId="166" fontId="12" fillId="0" borderId="5" xfId="0" applyNumberFormat="1" applyFont="1" applyFill="1" applyBorder="1" applyAlignment="1"/>
    <xf numFmtId="0" fontId="5" fillId="0" borderId="0" xfId="0" applyFont="1" applyFill="1" applyAlignment="1"/>
    <xf numFmtId="164" fontId="5" fillId="0" borderId="0" xfId="0" applyNumberFormat="1" applyFont="1" applyFill="1" applyAlignment="1"/>
    <xf numFmtId="166" fontId="4" fillId="0" borderId="5" xfId="0" applyNumberFormat="1" applyFont="1" applyFill="1" applyBorder="1" applyAlignment="1"/>
    <xf numFmtId="0" fontId="15" fillId="0" borderId="0" xfId="0" applyFont="1" applyFill="1"/>
    <xf numFmtId="0" fontId="15" fillId="0" borderId="0" xfId="0" applyFont="1"/>
    <xf numFmtId="167" fontId="5" fillId="0" borderId="5" xfId="3" applyNumberFormat="1" applyFont="1" applyBorder="1"/>
    <xf numFmtId="167" fontId="15" fillId="0" borderId="5" xfId="3" applyNumberFormat="1" applyFont="1" applyBorder="1"/>
    <xf numFmtId="3" fontId="15" fillId="0" borderId="5" xfId="0" applyNumberFormat="1" applyFont="1" applyBorder="1" applyAlignment="1">
      <alignment horizontal="right"/>
    </xf>
    <xf numFmtId="0" fontId="15" fillId="0" borderId="5" xfId="0" applyFont="1" applyFill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5" fillId="0" borderId="5" xfId="0" applyFont="1" applyBorder="1" applyAlignment="1">
      <alignment wrapText="1"/>
    </xf>
    <xf numFmtId="3" fontId="15" fillId="0" borderId="5" xfId="0" applyNumberFormat="1" applyFont="1" applyFill="1" applyBorder="1" applyAlignment="1">
      <alignment horizontal="right"/>
    </xf>
    <xf numFmtId="0" fontId="15" fillId="0" borderId="5" xfId="0" applyFont="1" applyFill="1" applyBorder="1" applyAlignment="1">
      <alignment wrapText="1"/>
    </xf>
    <xf numFmtId="0" fontId="15" fillId="0" borderId="5" xfId="0" applyFont="1" applyBorder="1" applyAlignment="1">
      <alignment vertical="center" wrapText="1"/>
    </xf>
    <xf numFmtId="3" fontId="15" fillId="0" borderId="5" xfId="0" applyNumberFormat="1" applyFont="1" applyFill="1" applyBorder="1" applyAlignment="1">
      <alignment horizontal="right" wrapText="1"/>
    </xf>
    <xf numFmtId="3" fontId="5" fillId="0" borderId="4" xfId="0" applyNumberFormat="1" applyFont="1" applyBorder="1"/>
    <xf numFmtId="167" fontId="5" fillId="0" borderId="4" xfId="3" applyNumberFormat="1" applyFont="1" applyBorder="1"/>
    <xf numFmtId="167" fontId="15" fillId="0" borderId="4" xfId="3" applyNumberFormat="1" applyFont="1" applyBorder="1"/>
    <xf numFmtId="3" fontId="15" fillId="0" borderId="4" xfId="0" applyNumberFormat="1" applyFont="1" applyBorder="1" applyAlignment="1">
      <alignment horizontal="right"/>
    </xf>
    <xf numFmtId="0" fontId="15" fillId="0" borderId="4" xfId="0" applyFont="1" applyBorder="1" applyAlignment="1">
      <alignment wrapText="1"/>
    </xf>
    <xf numFmtId="0" fontId="15" fillId="0" borderId="0" xfId="0" applyFont="1" applyFill="1" applyAlignment="1"/>
    <xf numFmtId="0" fontId="15" fillId="0" borderId="0" xfId="0" applyFont="1" applyFill="1" applyAlignment="1">
      <alignment wrapText="1"/>
    </xf>
    <xf numFmtId="3" fontId="15" fillId="0" borderId="0" xfId="0" applyNumberFormat="1" applyFont="1" applyFill="1" applyAlignment="1"/>
    <xf numFmtId="165" fontId="15" fillId="0" borderId="0" xfId="0" applyNumberFormat="1" applyFont="1" applyFill="1" applyAlignment="1"/>
    <xf numFmtId="3" fontId="5" fillId="0" borderId="0" xfId="0" applyNumberFormat="1" applyFont="1" applyFill="1" applyAlignment="1"/>
    <xf numFmtId="0" fontId="15" fillId="0" borderId="3" xfId="0" applyFont="1" applyFill="1" applyBorder="1" applyAlignment="1">
      <alignment horizontal="center" wrapText="1"/>
    </xf>
    <xf numFmtId="0" fontId="15" fillId="0" borderId="3" xfId="0" applyFont="1" applyFill="1" applyBorder="1" applyAlignment="1"/>
    <xf numFmtId="0" fontId="5" fillId="0" borderId="0" xfId="0" applyFont="1" applyFill="1" applyAlignment="1">
      <alignment horizontal="centerContinuous"/>
    </xf>
    <xf numFmtId="0" fontId="7" fillId="0" borderId="2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left" wrapText="1"/>
    </xf>
    <xf numFmtId="0" fontId="17" fillId="0" borderId="0" xfId="0" applyFont="1" applyFill="1" applyAlignment="1"/>
    <xf numFmtId="164" fontId="5" fillId="0" borderId="5" xfId="0" applyNumberFormat="1" applyFont="1" applyFill="1" applyBorder="1" applyAlignment="1"/>
    <xf numFmtId="3" fontId="5" fillId="0" borderId="5" xfId="0" applyNumberFormat="1" applyFont="1" applyFill="1" applyBorder="1" applyAlignment="1"/>
    <xf numFmtId="167" fontId="15" fillId="0" borderId="5" xfId="3" applyNumberFormat="1" applyFont="1" applyFill="1" applyBorder="1" applyAlignment="1"/>
    <xf numFmtId="0" fontId="11" fillId="0" borderId="5" xfId="0" applyFont="1" applyFill="1" applyBorder="1" applyAlignment="1">
      <alignment wrapText="1"/>
    </xf>
    <xf numFmtId="168" fontId="18" fillId="0" borderId="5" xfId="0" applyNumberFormat="1" applyFont="1" applyFill="1" applyBorder="1" applyAlignment="1"/>
    <xf numFmtId="168" fontId="6" fillId="0" borderId="5" xfId="0" applyNumberFormat="1" applyFont="1" applyFill="1" applyBorder="1" applyAlignment="1"/>
    <xf numFmtId="0" fontId="19" fillId="0" borderId="0" xfId="0" applyFont="1" applyFill="1" applyAlignment="1"/>
    <xf numFmtId="167" fontId="19" fillId="0" borderId="5" xfId="3" applyNumberFormat="1" applyFont="1" applyFill="1" applyBorder="1" applyAlignment="1"/>
    <xf numFmtId="168" fontId="19" fillId="0" borderId="5" xfId="0" applyNumberFormat="1" applyFont="1" applyFill="1" applyBorder="1" applyAlignment="1"/>
    <xf numFmtId="164" fontId="5" fillId="0" borderId="4" xfId="0" applyNumberFormat="1" applyFont="1" applyFill="1" applyBorder="1" applyAlignment="1"/>
    <xf numFmtId="167" fontId="15" fillId="0" borderId="4" xfId="3" applyNumberFormat="1" applyFont="1" applyFill="1" applyBorder="1" applyAlignment="1"/>
    <xf numFmtId="168" fontId="6" fillId="0" borderId="4" xfId="0" applyNumberFormat="1" applyFont="1" applyFill="1" applyBorder="1" applyAlignment="1"/>
    <xf numFmtId="0" fontId="6" fillId="0" borderId="2" xfId="0" applyFont="1" applyFill="1" applyBorder="1" applyAlignment="1">
      <alignment horizontal="center" wrapText="1"/>
    </xf>
    <xf numFmtId="166" fontId="5" fillId="0" borderId="0" xfId="0" applyNumberFormat="1" applyFont="1" applyFill="1" applyAlignment="1"/>
    <xf numFmtId="166" fontId="15" fillId="0" borderId="0" xfId="0" applyNumberFormat="1" applyFont="1" applyFill="1" applyAlignment="1"/>
    <xf numFmtId="164" fontId="5" fillId="0" borderId="0" xfId="0" applyNumberFormat="1" applyFont="1" applyFill="1" applyBorder="1" applyAlignment="1"/>
    <xf numFmtId="3" fontId="5" fillId="0" borderId="0" xfId="0" applyNumberFormat="1" applyFont="1" applyFill="1" applyBorder="1" applyAlignment="1"/>
    <xf numFmtId="167" fontId="21" fillId="0" borderId="0" xfId="0" applyNumberFormat="1" applyFont="1" applyFill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167" fontId="21" fillId="0" borderId="5" xfId="0" applyNumberFormat="1" applyFont="1" applyFill="1" applyBorder="1" applyAlignment="1">
      <alignment wrapText="1"/>
    </xf>
    <xf numFmtId="3" fontId="22" fillId="0" borderId="5" xfId="0" applyNumberFormat="1" applyFont="1" applyBorder="1" applyAlignment="1">
      <alignment horizontal="right" wrapText="1"/>
    </xf>
    <xf numFmtId="167" fontId="10" fillId="0" borderId="5" xfId="0" applyNumberFormat="1" applyFont="1" applyFill="1" applyBorder="1" applyAlignment="1">
      <alignment wrapText="1"/>
    </xf>
    <xf numFmtId="3" fontId="24" fillId="0" borderId="5" xfId="0" applyNumberFormat="1" applyFont="1" applyBorder="1" applyAlignment="1">
      <alignment horizontal="right" wrapText="1"/>
    </xf>
    <xf numFmtId="164" fontId="10" fillId="2" borderId="4" xfId="0" applyNumberFormat="1" applyFont="1" applyFill="1" applyBorder="1" applyAlignment="1"/>
    <xf numFmtId="3" fontId="10" fillId="2" borderId="4" xfId="0" applyNumberFormat="1" applyFont="1" applyFill="1" applyBorder="1" applyAlignment="1"/>
    <xf numFmtId="166" fontId="5" fillId="0" borderId="0" xfId="0" applyNumberFormat="1" applyFont="1" applyFill="1" applyAlignment="1">
      <alignment horizontal="centerContinuous"/>
    </xf>
    <xf numFmtId="166" fontId="15" fillId="0" borderId="0" xfId="0" applyNumberFormat="1" applyFont="1" applyFill="1" applyAlignment="1">
      <alignment horizontal="centerContinuous"/>
    </xf>
    <xf numFmtId="169" fontId="5" fillId="0" borderId="0" xfId="0" applyNumberFormat="1" applyFont="1" applyFill="1" applyAlignment="1">
      <alignment horizontal="left" indent="1"/>
    </xf>
    <xf numFmtId="167" fontId="13" fillId="0" borderId="5" xfId="0" applyNumberFormat="1" applyFont="1" applyFill="1" applyBorder="1" applyAlignment="1"/>
    <xf numFmtId="3" fontId="24" fillId="0" borderId="5" xfId="0" applyNumberFormat="1" applyFont="1" applyFill="1" applyBorder="1" applyAlignment="1">
      <alignment horizontal="right"/>
    </xf>
    <xf numFmtId="167" fontId="25" fillId="0" borderId="5" xfId="0" applyNumberFormat="1" applyFont="1" applyFill="1" applyBorder="1" applyAlignment="1"/>
    <xf numFmtId="3" fontId="22" fillId="0" borderId="5" xfId="0" applyNumberFormat="1" applyFont="1" applyFill="1" applyBorder="1" applyAlignment="1">
      <alignment horizontal="right"/>
    </xf>
    <xf numFmtId="0" fontId="27" fillId="0" borderId="0" xfId="0" applyFont="1" applyFill="1" applyAlignment="1">
      <alignment horizontal="centerContinuous"/>
    </xf>
    <xf numFmtId="2" fontId="27" fillId="0" borderId="0" xfId="0" applyNumberFormat="1" applyFont="1" applyFill="1" applyAlignment="1">
      <alignment horizontal="centerContinuous"/>
    </xf>
    <xf numFmtId="167" fontId="10" fillId="2" borderId="4" xfId="0" applyNumberFormat="1" applyFont="1" applyFill="1" applyBorder="1" applyAlignment="1">
      <alignment wrapText="1"/>
    </xf>
    <xf numFmtId="169" fontId="5" fillId="0" borderId="0" xfId="0" applyNumberFormat="1" applyFont="1" applyFill="1" applyAlignment="1">
      <alignment horizontal="centerContinuous"/>
    </xf>
    <xf numFmtId="3" fontId="22" fillId="0" borderId="0" xfId="9" applyNumberFormat="1" applyFont="1" applyFill="1">
      <alignment horizontal="right" vertical="center" wrapText="1" shrinkToFit="1"/>
    </xf>
    <xf numFmtId="3" fontId="11" fillId="0" borderId="0" xfId="0" applyNumberFormat="1" applyFont="1" applyFill="1" applyBorder="1" applyAlignment="1">
      <alignment horizontal="left" wrapText="1"/>
    </xf>
    <xf numFmtId="3" fontId="24" fillId="2" borderId="8" xfId="0" applyNumberFormat="1" applyFont="1" applyFill="1" applyBorder="1" applyAlignment="1">
      <alignment horizontal="right" wrapText="1"/>
    </xf>
    <xf numFmtId="3" fontId="24" fillId="0" borderId="9" xfId="0" applyNumberFormat="1" applyFont="1" applyBorder="1" applyAlignment="1">
      <alignment horizontal="right" wrapText="1"/>
    </xf>
    <xf numFmtId="3" fontId="22" fillId="0" borderId="9" xfId="0" applyNumberFormat="1" applyFont="1" applyFill="1" applyBorder="1" applyAlignment="1">
      <alignment horizontal="right" wrapText="1"/>
    </xf>
    <xf numFmtId="167" fontId="23" fillId="0" borderId="0" xfId="0" applyNumberFormat="1" applyFont="1" applyFill="1" applyBorder="1" applyAlignment="1">
      <alignment wrapText="1"/>
    </xf>
    <xf numFmtId="3" fontId="23" fillId="0" borderId="0" xfId="0" applyNumberFormat="1" applyFont="1" applyFill="1" applyBorder="1" applyAlignment="1"/>
    <xf numFmtId="164" fontId="21" fillId="0" borderId="0" xfId="0" applyNumberFormat="1" applyFont="1" applyFill="1" applyBorder="1" applyAlignment="1"/>
    <xf numFmtId="3" fontId="32" fillId="0" borderId="5" xfId="10" applyNumberFormat="1" applyFont="1" applyBorder="1" applyAlignment="1">
      <alignment wrapText="1" shrinkToFit="1"/>
    </xf>
    <xf numFmtId="3" fontId="32" fillId="0" borderId="5" xfId="10" applyNumberFormat="1" applyFont="1" applyFill="1" applyBorder="1" applyAlignment="1">
      <alignment wrapText="1" shrinkToFit="1"/>
    </xf>
    <xf numFmtId="3" fontId="26" fillId="0" borderId="5" xfId="10" applyNumberFormat="1" applyFont="1" applyBorder="1" applyAlignment="1">
      <alignment wrapText="1" shrinkToFit="1"/>
    </xf>
    <xf numFmtId="0" fontId="15" fillId="0" borderId="5" xfId="0" applyFont="1" applyFill="1" applyBorder="1" applyAlignment="1">
      <alignment vertical="center" wrapText="1"/>
    </xf>
    <xf numFmtId="167" fontId="15" fillId="0" borderId="5" xfId="3" applyNumberFormat="1" applyFont="1" applyFill="1" applyBorder="1"/>
    <xf numFmtId="167" fontId="5" fillId="0" borderId="5" xfId="3" applyNumberFormat="1" applyFont="1" applyFill="1" applyBorder="1"/>
    <xf numFmtId="3" fontId="10" fillId="2" borderId="3" xfId="3" applyNumberFormat="1" applyFont="1" applyFill="1" applyBorder="1" applyAlignment="1"/>
    <xf numFmtId="3" fontId="5" fillId="0" borderId="4" xfId="0" applyNumberFormat="1" applyFont="1" applyFill="1" applyBorder="1" applyAlignment="1"/>
    <xf numFmtId="0" fontId="5" fillId="0" borderId="0" xfId="0" applyFont="1" applyFill="1" applyAlignment="1">
      <alignment horizontal="center"/>
    </xf>
    <xf numFmtId="0" fontId="34" fillId="3" borderId="5" xfId="5" applyFont="1" applyFill="1" applyBorder="1" applyAlignment="1">
      <alignment horizontal="left" wrapText="1"/>
    </xf>
    <xf numFmtId="3" fontId="34" fillId="3" borderId="5" xfId="5" applyNumberFormat="1" applyFont="1" applyFill="1" applyBorder="1" applyAlignment="1">
      <alignment horizontal="right" wrapText="1"/>
    </xf>
    <xf numFmtId="3" fontId="50" fillId="0" borderId="5" xfId="1" applyNumberFormat="1" applyFont="1" applyFill="1" applyBorder="1" applyAlignment="1">
      <alignment horizontal="right" wrapText="1"/>
    </xf>
    <xf numFmtId="3" fontId="50" fillId="0" borderId="5" xfId="5" applyNumberFormat="1" applyFont="1" applyFill="1" applyBorder="1" applyAlignment="1">
      <alignment horizontal="right" wrapText="1"/>
    </xf>
    <xf numFmtId="3" fontId="50" fillId="4" borderId="5" xfId="5" applyNumberFormat="1" applyFont="1" applyFill="1" applyBorder="1" applyAlignment="1">
      <alignment horizontal="right" wrapText="1"/>
    </xf>
    <xf numFmtId="0" fontId="51" fillId="0" borderId="5" xfId="0" applyFont="1" applyFill="1" applyBorder="1" applyAlignment="1">
      <alignment wrapText="1"/>
    </xf>
    <xf numFmtId="3" fontId="52" fillId="0" borderId="5" xfId="5" applyNumberFormat="1" applyFont="1" applyFill="1" applyBorder="1" applyAlignment="1">
      <alignment horizontal="right" wrapText="1"/>
    </xf>
    <xf numFmtId="3" fontId="53" fillId="0" borderId="5" xfId="1" applyNumberFormat="1" applyFont="1" applyFill="1" applyBorder="1" applyAlignment="1">
      <alignment horizontal="right" wrapText="1"/>
    </xf>
    <xf numFmtId="3" fontId="53" fillId="0" borderId="5" xfId="5" applyNumberFormat="1" applyFont="1" applyFill="1" applyBorder="1" applyAlignment="1">
      <alignment horizontal="right" wrapText="1"/>
    </xf>
    <xf numFmtId="0" fontId="35" fillId="0" borderId="5" xfId="0" applyFont="1" applyFill="1" applyBorder="1" applyAlignment="1">
      <alignment wrapText="1"/>
    </xf>
    <xf numFmtId="3" fontId="35" fillId="0" borderId="5" xfId="9" applyNumberFormat="1" applyFont="1" applyFill="1" applyBorder="1" applyAlignment="1">
      <alignment horizontal="right"/>
    </xf>
    <xf numFmtId="3" fontId="51" fillId="0" borderId="5" xfId="9" applyNumberFormat="1" applyFont="1" applyFill="1" applyBorder="1" applyAlignment="1">
      <alignment horizontal="right"/>
    </xf>
    <xf numFmtId="3" fontId="50" fillId="4" borderId="5" xfId="1" applyNumberFormat="1" applyFont="1" applyFill="1" applyBorder="1" applyAlignment="1">
      <alignment horizontal="right" wrapText="1"/>
    </xf>
    <xf numFmtId="0" fontId="54" fillId="4" borderId="5" xfId="7" applyFont="1" applyFill="1" applyBorder="1" applyAlignment="1">
      <alignment horizontal="left" wrapText="1" shrinkToFit="1"/>
    </xf>
    <xf numFmtId="3" fontId="54" fillId="4" borderId="5" xfId="2" applyNumberFormat="1" applyFont="1" applyFill="1" applyBorder="1" applyAlignment="1"/>
    <xf numFmtId="3" fontId="53" fillId="4" borderId="5" xfId="1" applyNumberFormat="1" applyFont="1" applyFill="1" applyBorder="1" applyAlignment="1">
      <alignment horizontal="right" wrapText="1"/>
    </xf>
    <xf numFmtId="3" fontId="53" fillId="4" borderId="5" xfId="2" applyNumberFormat="1" applyFont="1" applyFill="1" applyBorder="1" applyAlignment="1"/>
    <xf numFmtId="3" fontId="50" fillId="4" borderId="5" xfId="2" applyNumberFormat="1" applyFont="1" applyFill="1" applyBorder="1" applyAlignment="1"/>
    <xf numFmtId="3" fontId="37" fillId="0" borderId="5" xfId="1" applyNumberFormat="1" applyFont="1" applyFill="1" applyBorder="1" applyAlignment="1">
      <alignment horizontal="justify" wrapText="1"/>
    </xf>
    <xf numFmtId="3" fontId="38" fillId="0" borderId="5" xfId="2" applyNumberFormat="1" applyFont="1" applyFill="1" applyBorder="1" applyAlignment="1"/>
    <xf numFmtId="3" fontId="55" fillId="0" borderId="5" xfId="2" applyNumberFormat="1" applyFont="1" applyFill="1" applyBorder="1" applyAlignment="1"/>
    <xf numFmtId="3" fontId="56" fillId="0" borderId="5" xfId="2" applyNumberFormat="1" applyFont="1" applyFill="1" applyBorder="1" applyAlignment="1"/>
    <xf numFmtId="3" fontId="37" fillId="0" borderId="5" xfId="1" applyNumberFormat="1" applyFont="1" applyFill="1" applyBorder="1" applyAlignment="1">
      <alignment horizontal="left" wrapText="1"/>
    </xf>
    <xf numFmtId="3" fontId="57" fillId="0" borderId="5" xfId="2" applyNumberFormat="1" applyFont="1" applyFill="1" applyBorder="1" applyAlignment="1"/>
    <xf numFmtId="3" fontId="37" fillId="0" borderId="5" xfId="0" applyNumberFormat="1" applyFont="1" applyFill="1" applyBorder="1" applyAlignment="1">
      <alignment horizontal="left" wrapText="1"/>
    </xf>
    <xf numFmtId="3" fontId="37" fillId="0" borderId="5" xfId="5" applyNumberFormat="1" applyFont="1" applyFill="1" applyBorder="1" applyAlignment="1">
      <alignment horizontal="justify" wrapText="1"/>
    </xf>
    <xf numFmtId="3" fontId="37" fillId="0" borderId="5" xfId="0" applyNumberFormat="1" applyFont="1" applyFill="1" applyBorder="1" applyAlignment="1">
      <alignment horizontal="justify" wrapText="1"/>
    </xf>
    <xf numFmtId="0" fontId="39" fillId="0" borderId="5" xfId="0" applyFont="1" applyFill="1" applyBorder="1" applyAlignment="1">
      <alignment wrapText="1"/>
    </xf>
    <xf numFmtId="3" fontId="58" fillId="0" borderId="5" xfId="2" applyNumberFormat="1" applyFont="1" applyFill="1" applyBorder="1" applyAlignment="1"/>
    <xf numFmtId="0" fontId="40" fillId="0" borderId="5" xfId="0" applyFont="1" applyFill="1" applyBorder="1" applyAlignment="1">
      <alignment wrapText="1"/>
    </xf>
    <xf numFmtId="3" fontId="59" fillId="0" borderId="5" xfId="2" applyNumberFormat="1" applyFont="1" applyFill="1" applyBorder="1" applyAlignment="1"/>
    <xf numFmtId="3" fontId="54" fillId="0" borderId="5" xfId="1" applyNumberFormat="1" applyFont="1" applyFill="1" applyBorder="1" applyAlignment="1">
      <alignment horizontal="left" wrapText="1"/>
    </xf>
    <xf numFmtId="3" fontId="37" fillId="0" borderId="5" xfId="0" applyNumberFormat="1" applyFont="1" applyFill="1" applyBorder="1" applyAlignment="1">
      <alignment wrapText="1"/>
    </xf>
    <xf numFmtId="3" fontId="37" fillId="0" borderId="5" xfId="4" applyNumberFormat="1" applyFont="1" applyFill="1" applyBorder="1" applyAlignment="1">
      <alignment horizontal="justify" wrapText="1"/>
    </xf>
    <xf numFmtId="3" fontId="38" fillId="0" borderId="5" xfId="1" applyNumberFormat="1" applyFont="1" applyFill="1" applyBorder="1" applyAlignment="1">
      <alignment horizontal="left" wrapText="1"/>
    </xf>
    <xf numFmtId="3" fontId="37" fillId="0" borderId="5" xfId="0" applyNumberFormat="1" applyFont="1" applyFill="1" applyBorder="1" applyAlignment="1">
      <alignment horizontal="justify"/>
    </xf>
    <xf numFmtId="3" fontId="60" fillId="0" borderId="5" xfId="2" applyNumberFormat="1" applyFont="1" applyFill="1" applyBorder="1" applyAlignment="1"/>
    <xf numFmtId="0" fontId="11" fillId="0" borderId="0" xfId="0" applyFont="1" applyFill="1" applyBorder="1" applyAlignment="1">
      <alignment wrapText="1"/>
    </xf>
    <xf numFmtId="3" fontId="50" fillId="0" borderId="0" xfId="1" applyNumberFormat="1" applyFont="1" applyFill="1" applyBorder="1" applyAlignment="1">
      <alignment horizontal="right" wrapText="1"/>
    </xf>
    <xf numFmtId="3" fontId="56" fillId="0" borderId="0" xfId="2" applyNumberFormat="1" applyFont="1" applyFill="1" applyBorder="1" applyAlignment="1"/>
    <xf numFmtId="167" fontId="15" fillId="0" borderId="0" xfId="3" applyNumberFormat="1" applyFont="1" applyFill="1" applyBorder="1" applyAlignment="1"/>
    <xf numFmtId="0" fontId="6" fillId="2" borderId="4" xfId="0" applyFont="1" applyFill="1" applyBorder="1" applyAlignment="1"/>
    <xf numFmtId="0" fontId="5" fillId="2" borderId="4" xfId="0" applyFont="1" applyFill="1" applyBorder="1" applyAlignment="1">
      <alignment wrapText="1"/>
    </xf>
    <xf numFmtId="167" fontId="10" fillId="2" borderId="4" xfId="3" applyNumberFormat="1" applyFont="1" applyFill="1" applyBorder="1" applyAlignment="1"/>
    <xf numFmtId="3" fontId="10" fillId="2" borderId="4" xfId="3" applyNumberFormat="1" applyFont="1" applyFill="1" applyBorder="1" applyAlignment="1"/>
    <xf numFmtId="0" fontId="34" fillId="3" borderId="4" xfId="5" applyFont="1" applyFill="1" applyBorder="1" applyAlignment="1">
      <alignment horizontal="left" wrapText="1"/>
    </xf>
    <xf numFmtId="3" fontId="34" fillId="3" borderId="4" xfId="5" applyNumberFormat="1" applyFont="1" applyFill="1" applyBorder="1" applyAlignment="1">
      <alignment horizontal="right" wrapText="1"/>
    </xf>
    <xf numFmtId="3" fontId="34" fillId="0" borderId="0" xfId="10" applyNumberFormat="1" applyFont="1" applyAlignment="1">
      <alignment horizontal="right" wrapText="1" indent="1" shrinkToFit="1"/>
    </xf>
    <xf numFmtId="3" fontId="17" fillId="0" borderId="0" xfId="0" applyNumberFormat="1" applyFont="1" applyFill="1" applyAlignment="1"/>
    <xf numFmtId="165" fontId="11" fillId="0" borderId="0" xfId="0" applyNumberFormat="1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center" wrapText="1"/>
    </xf>
    <xf numFmtId="165" fontId="15" fillId="0" borderId="0" xfId="0" applyNumberFormat="1" applyFont="1" applyFill="1" applyAlignment="1">
      <alignment wrapText="1"/>
    </xf>
    <xf numFmtId="3" fontId="14" fillId="0" borderId="0" xfId="10" applyNumberFormat="1" applyFill="1" applyAlignment="1">
      <alignment horizontal="right" wrapText="1" indent="1" shrinkToFit="1"/>
    </xf>
    <xf numFmtId="0" fontId="5" fillId="0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wrapText="1"/>
    </xf>
    <xf numFmtId="166" fontId="13" fillId="2" borderId="3" xfId="0" applyNumberFormat="1" applyFont="1" applyFill="1" applyBorder="1"/>
    <xf numFmtId="167" fontId="10" fillId="2" borderId="3" xfId="0" applyNumberFormat="1" applyFont="1" applyFill="1" applyBorder="1"/>
    <xf numFmtId="166" fontId="10" fillId="2" borderId="3" xfId="0" applyNumberFormat="1" applyFont="1" applyFill="1" applyBorder="1"/>
    <xf numFmtId="164" fontId="10" fillId="2" borderId="3" xfId="0" applyNumberFormat="1" applyFont="1" applyFill="1" applyBorder="1"/>
    <xf numFmtId="0" fontId="3" fillId="2" borderId="3" xfId="0" applyFont="1" applyFill="1" applyBorder="1" applyAlignment="1">
      <alignment wrapText="1"/>
    </xf>
    <xf numFmtId="166" fontId="6" fillId="2" borderId="3" xfId="0" applyNumberFormat="1" applyFont="1" applyFill="1" applyBorder="1" applyAlignment="1"/>
    <xf numFmtId="167" fontId="10" fillId="2" borderId="3" xfId="0" applyNumberFormat="1" applyFont="1" applyFill="1" applyBorder="1" applyAlignment="1"/>
    <xf numFmtId="167" fontId="3" fillId="2" borderId="3" xfId="0" applyNumberFormat="1" applyFont="1" applyFill="1" applyBorder="1" applyAlignment="1"/>
    <xf numFmtId="0" fontId="6" fillId="2" borderId="3" xfId="0" applyFont="1" applyFill="1" applyBorder="1" applyAlignment="1">
      <alignment wrapText="1"/>
    </xf>
    <xf numFmtId="167" fontId="13" fillId="2" borderId="3" xfId="3" applyNumberFormat="1" applyFont="1" applyFill="1" applyBorder="1"/>
    <xf numFmtId="167" fontId="3" fillId="2" borderId="3" xfId="3" applyNumberFormat="1" applyFont="1" applyFill="1" applyBorder="1"/>
    <xf numFmtId="3" fontId="10" fillId="2" borderId="3" xfId="0" applyNumberFormat="1" applyFont="1" applyFill="1" applyBorder="1"/>
    <xf numFmtId="165" fontId="13" fillId="2" borderId="3" xfId="0" applyNumberFormat="1" applyFont="1" applyFill="1" applyBorder="1" applyAlignment="1">
      <alignment horizontal="right" wrapText="1"/>
    </xf>
    <xf numFmtId="167" fontId="13" fillId="2" borderId="3" xfId="3" applyNumberFormat="1" applyFont="1" applyFill="1" applyBorder="1" applyAlignment="1"/>
    <xf numFmtId="164" fontId="10" fillId="0" borderId="0" xfId="0" applyNumberFormat="1" applyFont="1" applyFill="1" applyBorder="1" applyAlignment="1"/>
    <xf numFmtId="167" fontId="41" fillId="0" borderId="4" xfId="3" applyNumberFormat="1" applyFont="1" applyFill="1" applyBorder="1" applyAlignment="1"/>
    <xf numFmtId="167" fontId="10" fillId="2" borderId="7" xfId="0" applyNumberFormat="1" applyFont="1" applyFill="1" applyBorder="1" applyAlignment="1"/>
    <xf numFmtId="0" fontId="41" fillId="2" borderId="10" xfId="0" applyFont="1" applyFill="1" applyBorder="1" applyAlignment="1">
      <alignment wrapText="1"/>
    </xf>
    <xf numFmtId="0" fontId="5" fillId="0" borderId="7" xfId="0" applyFont="1" applyBorder="1" applyAlignment="1">
      <alignment wrapText="1"/>
    </xf>
    <xf numFmtId="166" fontId="5" fillId="0" borderId="7" xfId="0" applyNumberFormat="1" applyFont="1" applyBorder="1"/>
    <xf numFmtId="167" fontId="5" fillId="0" borderId="7" xfId="0" applyNumberFormat="1" applyFont="1" applyBorder="1"/>
    <xf numFmtId="166" fontId="5" fillId="0" borderId="7" xfId="0" applyNumberFormat="1" applyFont="1" applyFill="1" applyBorder="1"/>
    <xf numFmtId="164" fontId="5" fillId="0" borderId="7" xfId="0" applyNumberFormat="1" applyFont="1" applyBorder="1"/>
    <xf numFmtId="166" fontId="12" fillId="0" borderId="7" xfId="0" applyNumberFormat="1" applyFont="1" applyFill="1" applyBorder="1" applyAlignment="1"/>
    <xf numFmtId="167" fontId="12" fillId="0" borderId="7" xfId="0" applyNumberFormat="1" applyFont="1" applyBorder="1" applyAlignment="1"/>
    <xf numFmtId="3" fontId="5" fillId="0" borderId="5" xfId="0" applyNumberFormat="1" applyFont="1" applyBorder="1"/>
    <xf numFmtId="0" fontId="15" fillId="0" borderId="7" xfId="0" applyFont="1" applyFill="1" applyBorder="1" applyAlignment="1">
      <alignment vertical="top" wrapText="1"/>
    </xf>
    <xf numFmtId="3" fontId="15" fillId="0" borderId="7" xfId="0" applyNumberFormat="1" applyFont="1" applyBorder="1" applyAlignment="1">
      <alignment horizontal="right"/>
    </xf>
    <xf numFmtId="167" fontId="15" fillId="0" borderId="7" xfId="3" applyNumberFormat="1" applyFont="1" applyBorder="1"/>
    <xf numFmtId="167" fontId="5" fillId="0" borderId="7" xfId="3" applyNumberFormat="1" applyFont="1" applyBorder="1"/>
    <xf numFmtId="3" fontId="5" fillId="0" borderId="7" xfId="0" applyNumberFormat="1" applyFont="1" applyBorder="1"/>
    <xf numFmtId="0" fontId="42" fillId="0" borderId="3" xfId="0" applyFont="1" applyFill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wrapText="1"/>
    </xf>
    <xf numFmtId="167" fontId="5" fillId="0" borderId="0" xfId="0" applyNumberFormat="1" applyFont="1"/>
    <xf numFmtId="0" fontId="5" fillId="0" borderId="0" xfId="0" applyFont="1" applyFill="1" applyBorder="1" applyAlignment="1">
      <alignment wrapText="1"/>
    </xf>
    <xf numFmtId="3" fontId="10" fillId="0" borderId="0" xfId="3" applyNumberFormat="1" applyFont="1" applyFill="1" applyBorder="1" applyAlignment="1"/>
    <xf numFmtId="167" fontId="10" fillId="0" borderId="0" xfId="3" applyNumberFormat="1" applyFont="1" applyFill="1" applyBorder="1" applyAlignment="1"/>
    <xf numFmtId="165" fontId="10" fillId="0" borderId="0" xfId="3" applyNumberFormat="1" applyFont="1" applyFill="1" applyBorder="1" applyAlignment="1"/>
    <xf numFmtId="0" fontId="42" fillId="0" borderId="0" xfId="0" applyFont="1" applyFill="1" applyAlignment="1"/>
    <xf numFmtId="0" fontId="43" fillId="0" borderId="5" xfId="10" applyNumberFormat="1" applyFont="1" applyBorder="1" applyAlignment="1">
      <alignment horizontal="left" wrapText="1" indent="3" shrinkToFit="1"/>
    </xf>
    <xf numFmtId="0" fontId="14" fillId="0" borderId="5" xfId="10" applyNumberFormat="1" applyFont="1" applyBorder="1" applyAlignment="1">
      <alignment horizontal="left" wrapText="1" indent="4" shrinkToFit="1"/>
    </xf>
    <xf numFmtId="0" fontId="14" fillId="0" borderId="5" xfId="10" applyNumberFormat="1" applyFont="1" applyBorder="1" applyAlignment="1">
      <alignment horizontal="left" wrapText="1" indent="5" shrinkToFit="1"/>
    </xf>
    <xf numFmtId="0" fontId="14" fillId="0" borderId="5" xfId="10" applyNumberFormat="1" applyFont="1" applyBorder="1" applyAlignment="1">
      <alignment horizontal="left" wrapText="1" indent="6" shrinkToFit="1"/>
    </xf>
    <xf numFmtId="0" fontId="36" fillId="0" borderId="0" xfId="0" applyFont="1" applyFill="1" applyBorder="1" applyAlignment="1">
      <alignment vertical="top" wrapText="1"/>
    </xf>
    <xf numFmtId="0" fontId="42" fillId="0" borderId="0" xfId="0" applyFont="1" applyFill="1" applyAlignment="1">
      <alignment wrapText="1"/>
    </xf>
    <xf numFmtId="0" fontId="44" fillId="0" borderId="2" xfId="0" applyFont="1" applyFill="1" applyBorder="1" applyAlignment="1">
      <alignment horizontal="center" wrapText="1"/>
    </xf>
    <xf numFmtId="0" fontId="34" fillId="2" borderId="4" xfId="10" applyNumberFormat="1" applyFont="1" applyFill="1" applyBorder="1" applyAlignment="1">
      <alignment horizontal="left" wrapText="1" indent="2" shrinkToFit="1"/>
    </xf>
    <xf numFmtId="0" fontId="14" fillId="0" borderId="5" xfId="10" applyNumberFormat="1" applyFont="1" applyBorder="1" applyAlignment="1">
      <alignment horizontal="left" wrapText="1" indent="3" shrinkToFit="1"/>
    </xf>
    <xf numFmtId="167" fontId="11" fillId="0" borderId="5" xfId="3" applyNumberFormat="1" applyFont="1" applyFill="1" applyBorder="1" applyAlignment="1"/>
    <xf numFmtId="164" fontId="46" fillId="0" borderId="5" xfId="0" applyNumberFormat="1" applyFont="1" applyFill="1" applyBorder="1" applyAlignment="1"/>
    <xf numFmtId="0" fontId="12" fillId="0" borderId="0" xfId="0" applyFont="1" applyFill="1" applyAlignment="1">
      <alignment wrapText="1"/>
    </xf>
    <xf numFmtId="0" fontId="12" fillId="0" borderId="0" xfId="0" applyFont="1" applyFill="1" applyAlignment="1"/>
    <xf numFmtId="0" fontId="12" fillId="0" borderId="0" xfId="0" applyFont="1" applyFill="1"/>
    <xf numFmtId="3" fontId="53" fillId="0" borderId="5" xfId="2" applyNumberFormat="1" applyFont="1" applyFill="1" applyBorder="1" applyAlignment="1"/>
    <xf numFmtId="167" fontId="49" fillId="0" borderId="5" xfId="3" applyNumberFormat="1" applyFont="1" applyFill="1" applyBorder="1" applyAlignment="1"/>
    <xf numFmtId="167" fontId="65" fillId="0" borderId="5" xfId="3" applyNumberFormat="1" applyFont="1" applyFill="1" applyBorder="1" applyAlignment="1"/>
    <xf numFmtId="167" fontId="66" fillId="0" borderId="5" xfId="3" applyNumberFormat="1" applyFont="1" applyFill="1" applyBorder="1" applyAlignment="1"/>
    <xf numFmtId="0" fontId="54" fillId="0" borderId="5" xfId="7" applyFont="1" applyFill="1" applyBorder="1" applyAlignment="1">
      <alignment horizontal="left" wrapText="1" shrinkToFit="1"/>
    </xf>
    <xf numFmtId="3" fontId="54" fillId="0" borderId="5" xfId="2" applyNumberFormat="1" applyFont="1" applyFill="1" applyBorder="1" applyAlignment="1"/>
    <xf numFmtId="167" fontId="63" fillId="0" borderId="5" xfId="3" applyNumberFormat="1" applyFont="1" applyFill="1" applyBorder="1" applyAlignment="1"/>
    <xf numFmtId="167" fontId="45" fillId="0" borderId="5" xfId="3" applyNumberFormat="1" applyFont="1" applyFill="1" applyBorder="1" applyAlignment="1"/>
    <xf numFmtId="167" fontId="17" fillId="0" borderId="5" xfId="3" applyNumberFormat="1" applyFont="1" applyFill="1" applyBorder="1" applyAlignment="1"/>
    <xf numFmtId="167" fontId="71" fillId="0" borderId="5" xfId="3" applyNumberFormat="1" applyFont="1" applyFill="1" applyBorder="1" applyAlignment="1"/>
    <xf numFmtId="167" fontId="72" fillId="0" borderId="5" xfId="3" applyNumberFormat="1" applyFont="1" applyFill="1" applyBorder="1" applyAlignment="1"/>
    <xf numFmtId="3" fontId="69" fillId="0" borderId="0" xfId="3" applyNumberFormat="1" applyFont="1" applyFill="1" applyBorder="1" applyAlignment="1"/>
    <xf numFmtId="3" fontId="70" fillId="0" borderId="0" xfId="0" applyNumberFormat="1" applyFont="1" applyFill="1" applyAlignment="1"/>
    <xf numFmtId="3" fontId="66" fillId="0" borderId="5" xfId="0" applyNumberFormat="1" applyFont="1" applyFill="1" applyBorder="1" applyAlignment="1">
      <alignment horizontal="right" wrapText="1"/>
    </xf>
    <xf numFmtId="167" fontId="61" fillId="0" borderId="5" xfId="3" applyNumberFormat="1" applyFont="1" applyFill="1" applyBorder="1" applyAlignment="1"/>
    <xf numFmtId="167" fontId="74" fillId="0" borderId="5" xfId="3" applyNumberFormat="1" applyFont="1" applyFill="1" applyBorder="1" applyAlignment="1"/>
    <xf numFmtId="167" fontId="75" fillId="0" borderId="5" xfId="3" applyNumberFormat="1" applyFont="1" applyFill="1" applyBorder="1" applyAlignment="1"/>
    <xf numFmtId="167" fontId="76" fillId="0" borderId="5" xfId="3" applyNumberFormat="1" applyFont="1" applyFill="1" applyBorder="1" applyAlignment="1"/>
    <xf numFmtId="3" fontId="63" fillId="0" borderId="5" xfId="0" applyNumberFormat="1" applyFont="1" applyFill="1" applyBorder="1" applyAlignment="1">
      <alignment horizontal="right" wrapText="1"/>
    </xf>
    <xf numFmtId="167" fontId="64" fillId="0" borderId="5" xfId="3" applyNumberFormat="1" applyFont="1" applyFill="1" applyBorder="1" applyAlignment="1"/>
    <xf numFmtId="167" fontId="77" fillId="0" borderId="5" xfId="3" applyNumberFormat="1" applyFont="1" applyFill="1" applyBorder="1" applyAlignment="1"/>
    <xf numFmtId="167" fontId="78" fillId="0" borderId="5" xfId="3" applyNumberFormat="1" applyFont="1" applyFill="1" applyBorder="1" applyAlignment="1"/>
    <xf numFmtId="167" fontId="79" fillId="0" borderId="5" xfId="3" applyNumberFormat="1" applyFont="1" applyFill="1" applyBorder="1" applyAlignment="1"/>
    <xf numFmtId="167" fontId="80" fillId="0" borderId="5" xfId="3" applyNumberFormat="1" applyFont="1" applyFill="1" applyBorder="1" applyAlignment="1"/>
    <xf numFmtId="3" fontId="81" fillId="0" borderId="5" xfId="2" applyNumberFormat="1" applyFont="1" applyFill="1" applyBorder="1" applyAlignment="1"/>
    <xf numFmtId="3" fontId="82" fillId="0" borderId="5" xfId="2" applyNumberFormat="1" applyFont="1" applyFill="1" applyBorder="1" applyAlignment="1"/>
    <xf numFmtId="0" fontId="10" fillId="2" borderId="6" xfId="0" applyFont="1" applyFill="1" applyBorder="1" applyAlignment="1">
      <alignment wrapText="1"/>
    </xf>
    <xf numFmtId="0" fontId="84" fillId="0" borderId="7" xfId="0" applyFont="1" applyBorder="1" applyAlignment="1">
      <alignment horizontal="right" wrapText="1"/>
    </xf>
    <xf numFmtId="0" fontId="10" fillId="0" borderId="0" xfId="0" applyFont="1" applyAlignment="1">
      <alignment horizontal="center"/>
    </xf>
    <xf numFmtId="3" fontId="73" fillId="0" borderId="2" xfId="0" applyNumberFormat="1" applyFont="1" applyFill="1" applyBorder="1" applyAlignment="1">
      <alignment horizontal="center" wrapText="1"/>
    </xf>
    <xf numFmtId="3" fontId="19" fillId="0" borderId="0" xfId="0" applyNumberFormat="1" applyFont="1" applyFill="1" applyBorder="1" applyAlignment="1">
      <alignment horizontal="left" wrapText="1"/>
    </xf>
    <xf numFmtId="3" fontId="68" fillId="0" borderId="0" xfId="0" applyNumberFormat="1" applyFont="1" applyFill="1" applyAlignment="1">
      <alignment horizontal="centerContinuous"/>
    </xf>
    <xf numFmtId="167" fontId="12" fillId="0" borderId="0" xfId="0" applyNumberFormat="1" applyFont="1" applyFill="1"/>
    <xf numFmtId="167" fontId="47" fillId="0" borderId="5" xfId="0" applyNumberFormat="1" applyFont="1" applyFill="1" applyBorder="1" applyAlignment="1">
      <alignment wrapText="1"/>
    </xf>
    <xf numFmtId="3" fontId="85" fillId="0" borderId="5" xfId="10" applyNumberFormat="1" applyFont="1" applyFill="1" applyBorder="1" applyAlignment="1">
      <alignment wrapText="1" shrinkToFit="1"/>
    </xf>
    <xf numFmtId="3" fontId="85" fillId="0" borderId="5" xfId="10" applyNumberFormat="1" applyFont="1" applyBorder="1" applyAlignment="1">
      <alignment wrapText="1" shrinkToFit="1"/>
    </xf>
    <xf numFmtId="167" fontId="5" fillId="0" borderId="5" xfId="0" applyNumberFormat="1" applyFont="1" applyFill="1" applyBorder="1"/>
    <xf numFmtId="164" fontId="5" fillId="0" borderId="5" xfId="0" applyNumberFormat="1" applyFont="1" applyFill="1" applyBorder="1"/>
    <xf numFmtId="167" fontId="5" fillId="0" borderId="7" xfId="0" applyNumberFormat="1" applyFont="1" applyFill="1" applyBorder="1"/>
    <xf numFmtId="164" fontId="5" fillId="0" borderId="7" xfId="0" applyNumberFormat="1" applyFont="1" applyFill="1" applyBorder="1"/>
    <xf numFmtId="167" fontId="5" fillId="0" borderId="5" xfId="0" applyNumberFormat="1" applyFont="1" applyFill="1" applyBorder="1" applyAlignment="1"/>
    <xf numFmtId="167" fontId="12" fillId="0" borderId="5" xfId="0" applyNumberFormat="1" applyFont="1" applyFill="1" applyBorder="1" applyAlignment="1"/>
    <xf numFmtId="167" fontId="4" fillId="0" borderId="5" xfId="0" applyNumberFormat="1" applyFont="1" applyFill="1" applyBorder="1" applyAlignment="1"/>
    <xf numFmtId="0" fontId="68" fillId="0" borderId="0" xfId="0" applyFont="1" applyFill="1" applyAlignment="1">
      <alignment horizontal="centerContinuous"/>
    </xf>
    <xf numFmtId="167" fontId="69" fillId="0" borderId="0" xfId="3" applyNumberFormat="1" applyFont="1" applyFill="1" applyBorder="1" applyAlignment="1"/>
    <xf numFmtId="0" fontId="68" fillId="0" borderId="0" xfId="0" applyFont="1" applyFill="1" applyAlignment="1"/>
    <xf numFmtId="164" fontId="69" fillId="2" borderId="3" xfId="0" applyNumberFormat="1" applyFont="1" applyFill="1" applyBorder="1" applyAlignment="1"/>
    <xf numFmtId="164" fontId="68" fillId="0" borderId="0" xfId="0" applyNumberFormat="1" applyFont="1" applyFill="1" applyAlignment="1"/>
    <xf numFmtId="164" fontId="69" fillId="0" borderId="0" xfId="0" applyNumberFormat="1" applyFont="1" applyFill="1" applyBorder="1" applyAlignment="1"/>
    <xf numFmtId="0" fontId="42" fillId="0" borderId="0" xfId="0" applyFont="1" applyFill="1" applyAlignment="1">
      <alignment horizontal="centerContinuous"/>
    </xf>
    <xf numFmtId="167" fontId="86" fillId="0" borderId="0" xfId="3" applyNumberFormat="1" applyFont="1" applyFill="1" applyBorder="1" applyAlignment="1"/>
    <xf numFmtId="0" fontId="20" fillId="0" borderId="0" xfId="0" applyFont="1" applyFill="1"/>
    <xf numFmtId="3" fontId="42" fillId="0" borderId="0" xfId="0" applyNumberFormat="1" applyFont="1" applyFill="1" applyAlignment="1"/>
    <xf numFmtId="3" fontId="69" fillId="0" borderId="0" xfId="0" applyNumberFormat="1" applyFont="1" applyFill="1" applyBorder="1" applyAlignment="1"/>
    <xf numFmtId="0" fontId="69" fillId="0" borderId="2" xfId="0" applyFont="1" applyFill="1" applyBorder="1" applyAlignment="1">
      <alignment horizontal="center" wrapText="1"/>
    </xf>
    <xf numFmtId="167" fontId="46" fillId="0" borderId="5" xfId="3" applyNumberFormat="1" applyFont="1" applyFill="1" applyBorder="1" applyAlignment="1"/>
    <xf numFmtId="0" fontId="46" fillId="0" borderId="0" xfId="0" applyFont="1" applyFill="1" applyBorder="1" applyAlignment="1">
      <alignment horizontal="left" wrapText="1"/>
    </xf>
    <xf numFmtId="0" fontId="68" fillId="0" borderId="2" xfId="0" applyFont="1" applyFill="1" applyBorder="1" applyAlignment="1">
      <alignment horizontal="center" wrapText="1"/>
    </xf>
    <xf numFmtId="167" fontId="68" fillId="0" borderId="0" xfId="3" applyNumberFormat="1" applyFont="1" applyFill="1" applyBorder="1" applyAlignment="1"/>
    <xf numFmtId="0" fontId="87" fillId="0" borderId="0" xfId="0" applyFont="1" applyFill="1" applyBorder="1" applyAlignment="1">
      <alignment horizontal="center" wrapText="1"/>
    </xf>
    <xf numFmtId="0" fontId="86" fillId="0" borderId="2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 wrapText="1"/>
    </xf>
    <xf numFmtId="167" fontId="88" fillId="0" borderId="5" xfId="3" applyNumberFormat="1" applyFont="1" applyFill="1" applyBorder="1" applyAlignment="1"/>
    <xf numFmtId="167" fontId="41" fillId="0" borderId="5" xfId="0" applyNumberFormat="1" applyFont="1" applyFill="1" applyBorder="1" applyAlignment="1">
      <alignment wrapText="1"/>
    </xf>
    <xf numFmtId="165" fontId="5" fillId="0" borderId="0" xfId="0" applyNumberFormat="1" applyFont="1"/>
    <xf numFmtId="0" fontId="35" fillId="0" borderId="5" xfId="0" applyFont="1" applyFill="1" applyBorder="1" applyAlignment="1">
      <alignment horizontal="left" wrapText="1"/>
    </xf>
    <xf numFmtId="3" fontId="5" fillId="0" borderId="0" xfId="0" applyNumberFormat="1" applyFont="1"/>
    <xf numFmtId="3" fontId="62" fillId="0" borderId="5" xfId="2" applyNumberFormat="1" applyFont="1" applyFill="1" applyBorder="1" applyAlignment="1"/>
    <xf numFmtId="3" fontId="54" fillId="0" borderId="5" xfId="1" applyNumberFormat="1" applyFont="1" applyFill="1" applyBorder="1" applyAlignment="1">
      <alignment horizontal="right" wrapText="1"/>
    </xf>
    <xf numFmtId="0" fontId="3" fillId="0" borderId="2" xfId="0" applyFont="1" applyBorder="1" applyAlignment="1"/>
    <xf numFmtId="164" fontId="90" fillId="2" borderId="3" xfId="0" applyNumberFormat="1" applyFont="1" applyFill="1" applyBorder="1" applyAlignment="1"/>
    <xf numFmtId="3" fontId="90" fillId="2" borderId="3" xfId="3" applyNumberFormat="1" applyFont="1" applyFill="1" applyBorder="1" applyAlignment="1"/>
    <xf numFmtId="3" fontId="91" fillId="0" borderId="5" xfId="5" applyNumberFormat="1" applyFont="1" applyFill="1" applyBorder="1" applyAlignment="1">
      <alignment horizontal="right" wrapText="1"/>
    </xf>
    <xf numFmtId="3" fontId="91" fillId="0" borderId="5" xfId="2" applyNumberFormat="1" applyFont="1" applyFill="1" applyBorder="1" applyAlignment="1"/>
    <xf numFmtId="167" fontId="41" fillId="0" borderId="5" xfId="0" applyNumberFormat="1" applyFont="1" applyFill="1" applyBorder="1" applyAlignment="1">
      <alignment horizontal="center" wrapText="1"/>
    </xf>
    <xf numFmtId="164" fontId="46" fillId="0" borderId="5" xfId="0" applyNumberFormat="1" applyFont="1" applyFill="1" applyBorder="1" applyAlignment="1">
      <alignment horizontal="center"/>
    </xf>
    <xf numFmtId="167" fontId="12" fillId="0" borderId="5" xfId="0" applyNumberFormat="1" applyFont="1" applyFill="1" applyBorder="1" applyAlignment="1">
      <alignment horizontal="center"/>
    </xf>
    <xf numFmtId="3" fontId="51" fillId="0" borderId="5" xfId="2" applyNumberFormat="1" applyFont="1" applyFill="1" applyBorder="1" applyAlignment="1"/>
    <xf numFmtId="0" fontId="29" fillId="0" borderId="0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167" fontId="5" fillId="0" borderId="4" xfId="0" applyNumberFormat="1" applyFont="1" applyFill="1" applyBorder="1" applyAlignment="1"/>
    <xf numFmtId="167" fontId="12" fillId="0" borderId="7" xfId="0" applyNumberFormat="1" applyFont="1" applyFill="1" applyBorder="1" applyAlignment="1"/>
    <xf numFmtId="3" fontId="15" fillId="0" borderId="0" xfId="0" applyNumberFormat="1" applyFont="1"/>
    <xf numFmtId="3" fontId="6" fillId="2" borderId="3" xfId="0" applyNumberFormat="1" applyFont="1" applyFill="1" applyBorder="1"/>
    <xf numFmtId="0" fontId="68" fillId="0" borderId="0" xfId="0" applyFont="1" applyFill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164" fontId="46" fillId="0" borderId="5" xfId="0" applyNumberFormat="1" applyFont="1" applyFill="1" applyBorder="1" applyAlignment="1">
      <alignment horizontal="right"/>
    </xf>
    <xf numFmtId="0" fontId="54" fillId="0" borderId="5" xfId="10" quotePrefix="1" applyNumberFormat="1" applyFont="1" applyFill="1" applyBorder="1" applyAlignment="1">
      <alignment horizontal="left" vertical="center" wrapText="1"/>
    </xf>
    <xf numFmtId="0" fontId="51" fillId="0" borderId="5" xfId="10" quotePrefix="1" applyNumberFormat="1" applyFont="1" applyFill="1" applyBorder="1" applyAlignment="1">
      <alignment horizontal="left" vertical="center" wrapText="1"/>
    </xf>
    <xf numFmtId="3" fontId="51" fillId="0" borderId="5" xfId="10" quotePrefix="1" applyNumberFormat="1" applyFont="1" applyFill="1" applyBorder="1" applyAlignment="1">
      <alignment horizontal="right" wrapText="1"/>
    </xf>
    <xf numFmtId="0" fontId="62" fillId="0" borderId="5" xfId="10" quotePrefix="1" applyNumberFormat="1" applyFont="1" applyFill="1" applyBorder="1" applyAlignment="1">
      <alignment horizontal="left" vertical="center" wrapText="1"/>
    </xf>
    <xf numFmtId="3" fontId="37" fillId="0" borderId="5" xfId="4" applyNumberFormat="1" applyFont="1" applyFill="1" applyBorder="1" applyAlignment="1"/>
    <xf numFmtId="3" fontId="82" fillId="0" borderId="5" xfId="5" applyNumberFormat="1" applyFont="1" applyFill="1" applyBorder="1" applyAlignment="1">
      <alignment horizontal="right" wrapText="1"/>
    </xf>
    <xf numFmtId="0" fontId="67" fillId="2" borderId="5" xfId="5" applyFont="1" applyFill="1" applyBorder="1" applyAlignment="1">
      <alignment horizontal="left" wrapText="1"/>
    </xf>
    <xf numFmtId="3" fontId="67" fillId="2" borderId="5" xfId="5" applyNumberFormat="1" applyFont="1" applyFill="1" applyBorder="1" applyAlignment="1">
      <alignment horizontal="right" wrapText="1"/>
    </xf>
    <xf numFmtId="167" fontId="15" fillId="2" borderId="5" xfId="3" applyNumberFormat="1" applyFont="1" applyFill="1" applyBorder="1" applyAlignment="1"/>
    <xf numFmtId="164" fontId="90" fillId="2" borderId="5" xfId="0" applyNumberFormat="1" applyFont="1" applyFill="1" applyBorder="1" applyAlignment="1"/>
    <xf numFmtId="164" fontId="69" fillId="2" borderId="5" xfId="0" applyNumberFormat="1" applyFont="1" applyFill="1" applyBorder="1" applyAlignment="1"/>
    <xf numFmtId="3" fontId="91" fillId="2" borderId="5" xfId="5" applyNumberFormat="1" applyFont="1" applyFill="1" applyBorder="1" applyAlignment="1">
      <alignment horizontal="right" wrapText="1"/>
    </xf>
    <xf numFmtId="0" fontId="13" fillId="2" borderId="5" xfId="0" applyFont="1" applyFill="1" applyBorder="1" applyAlignment="1">
      <alignment wrapText="1"/>
    </xf>
    <xf numFmtId="3" fontId="10" fillId="2" borderId="5" xfId="3" applyNumberFormat="1" applyFont="1" applyFill="1" applyBorder="1" applyAlignment="1"/>
    <xf numFmtId="165" fontId="13" fillId="2" borderId="5" xfId="0" applyNumberFormat="1" applyFont="1" applyFill="1" applyBorder="1" applyAlignment="1">
      <alignment horizontal="right" wrapText="1"/>
    </xf>
    <xf numFmtId="3" fontId="90" fillId="2" borderId="5" xfId="3" applyNumberFormat="1" applyFont="1" applyFill="1" applyBorder="1" applyAlignment="1"/>
    <xf numFmtId="167" fontId="13" fillId="2" borderId="5" xfId="3" applyNumberFormat="1" applyFont="1" applyFill="1" applyBorder="1" applyAlignment="1"/>
    <xf numFmtId="3" fontId="24" fillId="2" borderId="4" xfId="0" applyNumberFormat="1" applyFont="1" applyFill="1" applyBorder="1" applyAlignment="1">
      <alignment horizontal="right" wrapText="1"/>
    </xf>
    <xf numFmtId="0" fontId="36" fillId="0" borderId="5" xfId="10" applyNumberFormat="1" applyFont="1" applyBorder="1" applyAlignment="1">
      <alignment horizontal="left" wrapText="1" indent="4" shrinkToFit="1"/>
    </xf>
    <xf numFmtId="0" fontId="36" fillId="0" borderId="5" xfId="10" applyNumberFormat="1" applyFont="1" applyBorder="1" applyAlignment="1">
      <alignment horizontal="left" wrapText="1" indent="5" shrinkToFit="1"/>
    </xf>
    <xf numFmtId="0" fontId="36" fillId="0" borderId="5" xfId="10" applyNumberFormat="1" applyFont="1" applyBorder="1" applyAlignment="1">
      <alignment horizontal="left" wrapText="1" indent="6" shrinkToFit="1"/>
    </xf>
    <xf numFmtId="3" fontId="14" fillId="0" borderId="0" xfId="10" applyNumberFormat="1" applyFill="1" applyAlignment="1">
      <alignment wrapText="1" shrinkToFit="1"/>
    </xf>
    <xf numFmtId="0" fontId="36" fillId="0" borderId="5" xfId="10" applyNumberFormat="1" applyFont="1" applyFill="1" applyBorder="1" applyAlignment="1">
      <alignment horizontal="left" wrapText="1" indent="5" shrinkToFit="1"/>
    </xf>
    <xf numFmtId="0" fontId="36" fillId="0" borderId="5" xfId="10" applyNumberFormat="1" applyFont="1" applyFill="1" applyBorder="1" applyAlignment="1">
      <alignment horizontal="left" wrapText="1" indent="6" shrinkToFit="1"/>
    </xf>
    <xf numFmtId="3" fontId="93" fillId="0" borderId="5" xfId="10" applyNumberFormat="1" applyFont="1" applyFill="1" applyBorder="1" applyAlignment="1">
      <alignment horizontal="right" wrapText="1" shrinkToFit="1"/>
    </xf>
    <xf numFmtId="3" fontId="85" fillId="0" borderId="5" xfId="10" applyNumberFormat="1" applyFont="1" applyFill="1" applyBorder="1" applyAlignment="1">
      <alignment horizontal="right" wrapText="1" shrinkToFit="1"/>
    </xf>
    <xf numFmtId="3" fontId="85" fillId="0" borderId="5" xfId="10" applyNumberFormat="1" applyFont="1" applyFill="1" applyBorder="1" applyAlignment="1">
      <alignment horizontal="right" shrinkToFit="1"/>
    </xf>
    <xf numFmtId="3" fontId="14" fillId="0" borderId="0" xfId="10" applyNumberFormat="1" applyFill="1" applyAlignment="1">
      <alignment horizontal="right" wrapText="1" shrinkToFit="1"/>
    </xf>
    <xf numFmtId="0" fontId="37" fillId="0" borderId="5" xfId="10" applyNumberFormat="1" applyFont="1" applyBorder="1" applyAlignment="1">
      <alignment horizontal="left" wrapText="1" indent="3" shrinkToFit="1"/>
    </xf>
    <xf numFmtId="3" fontId="93" fillId="0" borderId="5" xfId="10" applyNumberFormat="1" applyFont="1" applyFill="1" applyBorder="1" applyAlignment="1">
      <alignment wrapText="1" shrinkToFit="1"/>
    </xf>
    <xf numFmtId="3" fontId="23" fillId="0" borderId="0" xfId="0" applyNumberFormat="1" applyFont="1" applyFill="1" applyAlignment="1"/>
    <xf numFmtId="3" fontId="24" fillId="2" borderId="4" xfId="0" applyNumberFormat="1" applyFont="1" applyFill="1" applyBorder="1" applyAlignment="1">
      <alignment horizontal="right"/>
    </xf>
    <xf numFmtId="167" fontId="13" fillId="2" borderId="4" xfId="0" applyNumberFormat="1" applyFont="1" applyFill="1" applyBorder="1" applyAlignment="1"/>
    <xf numFmtId="0" fontId="36" fillId="0" borderId="5" xfId="10" applyNumberFormat="1" applyFont="1" applyFill="1" applyBorder="1" applyAlignment="1">
      <alignment horizontal="left" wrapText="1" indent="4" shrinkToFit="1"/>
    </xf>
    <xf numFmtId="3" fontId="22" fillId="0" borderId="5" xfId="10" applyNumberFormat="1" applyFont="1" applyBorder="1" applyAlignment="1">
      <alignment wrapText="1" shrinkToFit="1"/>
    </xf>
    <xf numFmtId="167" fontId="21" fillId="0" borderId="5" xfId="0" applyNumberFormat="1" applyFont="1" applyFill="1" applyBorder="1" applyAlignment="1"/>
    <xf numFmtId="0" fontId="13" fillId="0" borderId="0" xfId="0" applyFont="1" applyFill="1" applyAlignment="1"/>
    <xf numFmtId="167" fontId="25" fillId="0" borderId="5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3" fontId="5" fillId="0" borderId="0" xfId="0" applyNumberFormat="1" applyFont="1" applyAlignment="1"/>
    <xf numFmtId="0" fontId="29" fillId="0" borderId="0" xfId="0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0" fontId="31" fillId="0" borderId="0" xfId="0" applyFont="1" applyAlignment="1">
      <alignment horizontal="center" wrapText="1"/>
    </xf>
    <xf numFmtId="0" fontId="25" fillId="0" borderId="11" xfId="0" applyFont="1" applyFill="1" applyBorder="1" applyAlignment="1">
      <alignment horizontal="left" wrapText="1"/>
    </xf>
    <xf numFmtId="0" fontId="11" fillId="0" borderId="11" xfId="0" applyFont="1" applyFill="1" applyBorder="1" applyAlignment="1">
      <alignment horizontal="left" wrapText="1"/>
    </xf>
    <xf numFmtId="0" fontId="25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8" fillId="0" borderId="0" xfId="0" applyFont="1" applyAlignment="1">
      <alignment horizontal="center" wrapText="1"/>
    </xf>
    <xf numFmtId="0" fontId="29" fillId="0" borderId="0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left" wrapText="1"/>
    </xf>
  </cellXfs>
  <cellStyles count="118">
    <cellStyle name="Accent1 - 20%" xfId="19"/>
    <cellStyle name="Accent1 - 40%" xfId="20"/>
    <cellStyle name="Accent1 - 60%" xfId="21"/>
    <cellStyle name="Accent1 2" xfId="18"/>
    <cellStyle name="Accent1 3" xfId="99"/>
    <cellStyle name="Accent1 4" xfId="117"/>
    <cellStyle name="Accent2 - 20%" xfId="23"/>
    <cellStyle name="Accent2 - 40%" xfId="24"/>
    <cellStyle name="Accent2 - 60%" xfId="25"/>
    <cellStyle name="Accent2 2" xfId="22"/>
    <cellStyle name="Accent2 3" xfId="100"/>
    <cellStyle name="Accent2 4" xfId="116"/>
    <cellStyle name="Accent3 - 20%" xfId="27"/>
    <cellStyle name="Accent3 - 40%" xfId="28"/>
    <cellStyle name="Accent3 - 60%" xfId="29"/>
    <cellStyle name="Accent3 2" xfId="26"/>
    <cellStyle name="Accent3 3" xfId="101"/>
    <cellStyle name="Accent3 4" xfId="114"/>
    <cellStyle name="Accent4 - 20%" xfId="31"/>
    <cellStyle name="Accent4 - 40%" xfId="32"/>
    <cellStyle name="Accent4 - 60%" xfId="33"/>
    <cellStyle name="Accent4 2" xfId="30"/>
    <cellStyle name="Accent4 3" xfId="103"/>
    <cellStyle name="Accent4 4" xfId="113"/>
    <cellStyle name="Accent5 - 20%" xfId="35"/>
    <cellStyle name="Accent5 - 40%" xfId="36"/>
    <cellStyle name="Accent5 - 60%" xfId="37"/>
    <cellStyle name="Accent5 2" xfId="34"/>
    <cellStyle name="Accent5 3" xfId="104"/>
    <cellStyle name="Accent5 4" xfId="108"/>
    <cellStyle name="Accent6 - 20%" xfId="39"/>
    <cellStyle name="Accent6 - 40%" xfId="40"/>
    <cellStyle name="Accent6 - 60%" xfId="41"/>
    <cellStyle name="Accent6 2" xfId="38"/>
    <cellStyle name="Accent6 3" xfId="105"/>
    <cellStyle name="Accent6 4" xfId="107"/>
    <cellStyle name="Bad 2" xfId="42"/>
    <cellStyle name="Calculation 2" xfId="43"/>
    <cellStyle name="Check Cell 2" xfId="44"/>
    <cellStyle name="Emphasis 1" xfId="45"/>
    <cellStyle name="Emphasis 2" xfId="46"/>
    <cellStyle name="Emphasis 3" xfId="47"/>
    <cellStyle name="Good 2" xfId="48"/>
    <cellStyle name="Heading 1 2" xfId="49"/>
    <cellStyle name="Heading 2 2" xfId="50"/>
    <cellStyle name="Heading 3 2" xfId="51"/>
    <cellStyle name="Heading 4 2" xfId="52"/>
    <cellStyle name="Input 2" xfId="53"/>
    <cellStyle name="Linked Cell 2" xfId="54"/>
    <cellStyle name="Neutral 2" xfId="55"/>
    <cellStyle name="Normal" xfId="0" builtinId="0"/>
    <cellStyle name="Normal 2" xfId="16"/>
    <cellStyle name="Normal 2 2" xfId="1"/>
    <cellStyle name="Normal 3" xfId="2"/>
    <cellStyle name="Normal 4" xfId="14"/>
    <cellStyle name="Normal 5" xfId="17"/>
    <cellStyle name="Normal_grafiks" xfId="3"/>
    <cellStyle name="Normal_Sheet1" xfId="4"/>
    <cellStyle name="Note 2" xfId="56"/>
    <cellStyle name="Output 2" xfId="57"/>
    <cellStyle name="Parastais 2 2" xfId="5"/>
    <cellStyle name="Parastais_FMLikp01_p05_221205_pap_afp_makp" xfId="6"/>
    <cellStyle name="SAPBEXaggData" xfId="15"/>
    <cellStyle name="SAPBEXaggData 2" xfId="58"/>
    <cellStyle name="SAPBEXaggDataEmph" xfId="59"/>
    <cellStyle name="SAPBEXaggItem" xfId="60"/>
    <cellStyle name="SAPBEXaggItemX" xfId="61"/>
    <cellStyle name="SAPBEXchaText" xfId="62"/>
    <cellStyle name="SAPBEXchaText 2" xfId="106"/>
    <cellStyle name="SAPBEXexcBad7" xfId="63"/>
    <cellStyle name="SAPBEXexcBad8" xfId="64"/>
    <cellStyle name="SAPBEXexcBad9" xfId="65"/>
    <cellStyle name="SAPBEXexcCritical4" xfId="66"/>
    <cellStyle name="SAPBEXexcCritical5" xfId="67"/>
    <cellStyle name="SAPBEXexcCritical6" xfId="68"/>
    <cellStyle name="SAPBEXexcGood1" xfId="69"/>
    <cellStyle name="SAPBEXexcGood2" xfId="70"/>
    <cellStyle name="SAPBEXexcGood3" xfId="71"/>
    <cellStyle name="SAPBEXfilterDrill" xfId="72"/>
    <cellStyle name="SAPBEXfilterItem" xfId="73"/>
    <cellStyle name="SAPBEXfilterText" xfId="74"/>
    <cellStyle name="SAPBEXformats" xfId="75"/>
    <cellStyle name="SAPBEXheaderItem" xfId="76"/>
    <cellStyle name="SAPBEXheaderText" xfId="77"/>
    <cellStyle name="SAPBEXHLevel0" xfId="7"/>
    <cellStyle name="SAPBEXHLevel0 2" xfId="78"/>
    <cellStyle name="SAPBEXHLevel0 3" xfId="109"/>
    <cellStyle name="SAPBEXHLevel0X" xfId="79"/>
    <cellStyle name="SAPBEXHLevel1" xfId="80"/>
    <cellStyle name="SAPBEXHLevel1 2" xfId="110"/>
    <cellStyle name="SAPBEXHLevel1 3" xfId="102"/>
    <cellStyle name="SAPBEXHLevel1X" xfId="81"/>
    <cellStyle name="SAPBEXHLevel2" xfId="82"/>
    <cellStyle name="SAPBEXHLevel2 2" xfId="111"/>
    <cellStyle name="SAPBEXHLevel2X" xfId="83"/>
    <cellStyle name="SAPBEXHLevel3" xfId="12"/>
    <cellStyle name="SAPBEXHLevel3 2" xfId="84"/>
    <cellStyle name="SAPBEXHLevel3 3" xfId="112"/>
    <cellStyle name="SAPBEXHLevel3X" xfId="85"/>
    <cellStyle name="SAPBEXinputData" xfId="86"/>
    <cellStyle name="SAPBEXresData" xfId="87"/>
    <cellStyle name="SAPBEXresDataEmph" xfId="88"/>
    <cellStyle name="SAPBEXresItem" xfId="89"/>
    <cellStyle name="SAPBEXresItemX" xfId="90"/>
    <cellStyle name="SAPBEXstdData" xfId="8"/>
    <cellStyle name="SAPBEXstdData 2" xfId="9"/>
    <cellStyle name="SAPBEXstdData 3" xfId="115"/>
    <cellStyle name="SAPBEXstdDataEmph" xfId="91"/>
    <cellStyle name="SAPBEXstdItem" xfId="10"/>
    <cellStyle name="SAPBEXstdItem 2" xfId="92"/>
    <cellStyle name="SAPBEXstdItem 3" xfId="13"/>
    <cellStyle name="SAPBEXstdItemX" xfId="93"/>
    <cellStyle name="SAPBEXtitle" xfId="94"/>
    <cellStyle name="SAPBEXundefined" xfId="95"/>
    <cellStyle name="Sheet Title" xfId="96"/>
    <cellStyle name="Stils 1" xfId="11"/>
    <cellStyle name="Total 2" xfId="97"/>
    <cellStyle name="Warning Text 2" xfId="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visiem\Kopsavilkuma_nod\VBPKN_jaut&#257;jumi\BUDZETS_2017\Likumprojekts_2017.gads\5.3.sada&#316;a_paskaidrojums\JPI_COFOG_tabul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visiem\Bud&#382;eta_att&#299;st&#299;bas_noda&#316;a\BUDZETI\BUDZETS_2019\Paskaidrojumi\Sa&#326;emtie\5.3.1.-5.3.3.%20Izdevumi%20griezumos\FMPask_L_010319_proj2019_griezu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JPI_pasakumi_kopa"/>
      <sheetName val="JPI_funkc_griez_pa_ministr"/>
      <sheetName val="VB_2_zīmēs_PIVOT"/>
      <sheetName val="VB_3_un_2_zīmēs"/>
      <sheetName val="PB_2_zīmēs_PIVOT"/>
      <sheetName val="PB_3_un_2_zīmēs"/>
      <sheetName val="VB_2_zīmēs_no_PIVOTA"/>
      <sheetName val="PB_2_zīmēs_no_PIVOTA"/>
      <sheetName val="PB_JPI_funkc_griez"/>
      <sheetName val="VB_JPI_funkc_griez"/>
      <sheetName val="Ministry"/>
      <sheetName val="Prog"/>
      <sheetName val="Subprog"/>
      <sheetName val="Event"/>
      <sheetName val="var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C2">
            <v>2017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_funk"/>
      <sheetName val="pb_spb_funk"/>
      <sheetName val="kons_adm"/>
      <sheetName val="pb_spb_adm"/>
      <sheetName val="pb_spb_adm (2)"/>
      <sheetName val="kons_ekon"/>
      <sheetName val="pb_spb_ekon"/>
    </sheetNames>
    <sheetDataSet>
      <sheetData sheetId="0"/>
      <sheetData sheetId="1">
        <row r="5">
          <cell r="B5">
            <v>1190663122</v>
          </cell>
          <cell r="J5">
            <v>1454727531</v>
          </cell>
          <cell r="M5">
            <v>1421018776</v>
          </cell>
        </row>
        <row r="6">
          <cell r="B6">
            <v>20201</v>
          </cell>
          <cell r="J6">
            <v>17714</v>
          </cell>
          <cell r="M6">
            <v>17714</v>
          </cell>
        </row>
        <row r="7">
          <cell r="B7">
            <v>574829908</v>
          </cell>
          <cell r="J7">
            <v>654408956</v>
          </cell>
          <cell r="M7">
            <v>712599369</v>
          </cell>
        </row>
        <row r="8">
          <cell r="B8">
            <v>1341</v>
          </cell>
          <cell r="J8">
            <v>8040</v>
          </cell>
          <cell r="M8">
            <v>8040</v>
          </cell>
        </row>
        <row r="9">
          <cell r="B9">
            <v>571175785</v>
          </cell>
          <cell r="J9">
            <v>578386171</v>
          </cell>
          <cell r="M9">
            <v>557304032</v>
          </cell>
        </row>
        <row r="10">
          <cell r="B10">
            <v>188</v>
          </cell>
          <cell r="J10">
            <v>110</v>
          </cell>
          <cell r="M10"/>
        </row>
        <row r="11">
          <cell r="B11">
            <v>1475281874</v>
          </cell>
          <cell r="J11">
            <v>1605921510</v>
          </cell>
          <cell r="M11">
            <v>1879198395</v>
          </cell>
        </row>
        <row r="12">
          <cell r="B12">
            <v>1499</v>
          </cell>
          <cell r="J12">
            <v>1122</v>
          </cell>
          <cell r="M12">
            <v>1122</v>
          </cell>
        </row>
        <row r="13">
          <cell r="B13">
            <v>51787090</v>
          </cell>
          <cell r="J13">
            <v>38596524</v>
          </cell>
          <cell r="M13">
            <v>34962872</v>
          </cell>
        </row>
        <row r="14">
          <cell r="B14">
            <v>375</v>
          </cell>
          <cell r="J14">
            <v>374</v>
          </cell>
          <cell r="M14">
            <v>374</v>
          </cell>
        </row>
        <row r="15">
          <cell r="B15">
            <v>12843130</v>
          </cell>
          <cell r="J15">
            <v>9496125</v>
          </cell>
          <cell r="M15">
            <v>9522344</v>
          </cell>
        </row>
        <row r="16">
          <cell r="B16">
            <v>990916418</v>
          </cell>
          <cell r="J16">
            <v>1108807679</v>
          </cell>
          <cell r="M16">
            <v>1107423110</v>
          </cell>
        </row>
        <row r="17">
          <cell r="B17">
            <v>188749559</v>
          </cell>
          <cell r="J17">
            <v>154295092</v>
          </cell>
          <cell r="M17">
            <v>139574043</v>
          </cell>
        </row>
        <row r="18">
          <cell r="B18">
            <v>756365085</v>
          </cell>
          <cell r="J18">
            <v>758085370</v>
          </cell>
          <cell r="M18">
            <v>704342146</v>
          </cell>
        </row>
        <row r="19">
          <cell r="B19">
            <v>676746058</v>
          </cell>
          <cell r="J19">
            <v>730296653</v>
          </cell>
          <cell r="M19">
            <v>730320628</v>
          </cell>
        </row>
        <row r="20">
          <cell r="B20">
            <v>186345093</v>
          </cell>
          <cell r="J20">
            <v>199901731</v>
          </cell>
          <cell r="M20">
            <v>198223788</v>
          </cell>
        </row>
        <row r="27">
          <cell r="B27">
            <v>2651198936</v>
          </cell>
          <cell r="J27">
            <v>3007319773</v>
          </cell>
          <cell r="M27">
            <v>3189054569</v>
          </cell>
        </row>
        <row r="29">
          <cell r="B29">
            <v>28359</v>
          </cell>
          <cell r="E29">
            <v>31005</v>
          </cell>
          <cell r="J29">
            <v>32813</v>
          </cell>
          <cell r="M29">
            <v>34625</v>
          </cell>
        </row>
      </sheetData>
      <sheetData sheetId="2"/>
      <sheetData sheetId="3">
        <row r="5">
          <cell r="B5">
            <v>5705927</v>
          </cell>
          <cell r="E5">
            <v>4861735</v>
          </cell>
          <cell r="J5">
            <v>4861735</v>
          </cell>
          <cell r="M5">
            <v>4861735</v>
          </cell>
        </row>
        <row r="7">
          <cell r="B7">
            <v>22103581</v>
          </cell>
          <cell r="E7">
            <v>23156670</v>
          </cell>
          <cell r="J7">
            <v>24828681</v>
          </cell>
          <cell r="M7">
            <v>23242205</v>
          </cell>
        </row>
        <row r="9">
          <cell r="B9">
            <v>188</v>
          </cell>
          <cell r="E9">
            <v>187</v>
          </cell>
          <cell r="J9">
            <v>187</v>
          </cell>
          <cell r="M9">
            <v>187</v>
          </cell>
        </row>
        <row r="10">
          <cell r="B10">
            <v>9077072</v>
          </cell>
          <cell r="E10">
            <v>10388454</v>
          </cell>
          <cell r="J10">
            <v>10941334</v>
          </cell>
          <cell r="M10">
            <v>7260439</v>
          </cell>
        </row>
        <row r="13">
          <cell r="B13">
            <v>0</v>
          </cell>
          <cell r="E13">
            <v>52358</v>
          </cell>
          <cell r="J13">
            <v>43781</v>
          </cell>
          <cell r="M13"/>
        </row>
        <row r="14">
          <cell r="B14">
            <v>5839466</v>
          </cell>
          <cell r="E14">
            <v>6204267</v>
          </cell>
          <cell r="J14">
            <v>6380325</v>
          </cell>
          <cell r="M14">
            <v>6380325</v>
          </cell>
        </row>
        <row r="16">
          <cell r="B16">
            <v>1493307</v>
          </cell>
          <cell r="E16">
            <v>1541027</v>
          </cell>
          <cell r="J16">
            <v>1498479</v>
          </cell>
          <cell r="M16">
            <v>1492048</v>
          </cell>
        </row>
        <row r="19">
          <cell r="B19">
            <v>9310911</v>
          </cell>
          <cell r="E19">
            <v>10672081</v>
          </cell>
          <cell r="J19">
            <v>9650372</v>
          </cell>
          <cell r="M19">
            <v>9317854</v>
          </cell>
        </row>
        <row r="22">
          <cell r="B22">
            <v>0</v>
          </cell>
          <cell r="E22"/>
          <cell r="J22"/>
          <cell r="M22"/>
        </row>
        <row r="23">
          <cell r="B23">
            <v>5402910</v>
          </cell>
          <cell r="E23">
            <v>5522165</v>
          </cell>
          <cell r="J23">
            <v>5460630</v>
          </cell>
          <cell r="M23">
            <v>5460630</v>
          </cell>
        </row>
        <row r="25">
          <cell r="B25">
            <v>576341793</v>
          </cell>
          <cell r="E25">
            <v>636645418</v>
          </cell>
          <cell r="J25">
            <v>653036225</v>
          </cell>
          <cell r="M25">
            <v>688596225</v>
          </cell>
        </row>
        <row r="27">
          <cell r="B27">
            <v>1341</v>
          </cell>
          <cell r="E27">
            <v>8040</v>
          </cell>
          <cell r="J27">
            <v>8040</v>
          </cell>
          <cell r="M27">
            <v>8040</v>
          </cell>
        </row>
        <row r="28">
          <cell r="B28">
            <v>632760</v>
          </cell>
          <cell r="E28">
            <v>3026765</v>
          </cell>
          <cell r="J28">
            <v>184372</v>
          </cell>
          <cell r="M28">
            <v>184372</v>
          </cell>
        </row>
        <row r="30">
          <cell r="B30"/>
          <cell r="E30">
            <v>2860712</v>
          </cell>
          <cell r="J30"/>
          <cell r="M30"/>
        </row>
        <row r="31">
          <cell r="B31">
            <v>67059830</v>
          </cell>
          <cell r="E31">
            <v>65640486</v>
          </cell>
          <cell r="J31">
            <v>64118386</v>
          </cell>
          <cell r="M31">
            <v>63825740</v>
          </cell>
        </row>
        <row r="33">
          <cell r="B33">
            <v>12527</v>
          </cell>
          <cell r="E33">
            <v>16781</v>
          </cell>
          <cell r="J33">
            <v>16781</v>
          </cell>
          <cell r="M33">
            <v>16781</v>
          </cell>
        </row>
        <row r="34">
          <cell r="B34"/>
          <cell r="E34"/>
          <cell r="J34"/>
          <cell r="M34"/>
        </row>
        <row r="36">
          <cell r="B36">
            <v>802431</v>
          </cell>
          <cell r="E36">
            <v>802431</v>
          </cell>
          <cell r="J36">
            <v>802431</v>
          </cell>
          <cell r="M36">
            <v>802431</v>
          </cell>
        </row>
        <row r="37">
          <cell r="B37">
            <v>183966614</v>
          </cell>
          <cell r="E37">
            <v>108382612</v>
          </cell>
          <cell r="J37">
            <v>102025562</v>
          </cell>
          <cell r="M37">
            <v>75930435</v>
          </cell>
        </row>
        <row r="39">
          <cell r="B39">
            <v>6552</v>
          </cell>
          <cell r="E39">
            <v>561</v>
          </cell>
          <cell r="J39">
            <v>561</v>
          </cell>
          <cell r="M39">
            <v>561</v>
          </cell>
        </row>
        <row r="40">
          <cell r="B40">
            <v>297003</v>
          </cell>
          <cell r="E40">
            <v>1822959</v>
          </cell>
          <cell r="J40">
            <v>1739424</v>
          </cell>
          <cell r="M40">
            <v>233595</v>
          </cell>
        </row>
        <row r="42">
          <cell r="B42">
            <v>186892</v>
          </cell>
          <cell r="E42">
            <v>285909</v>
          </cell>
          <cell r="J42">
            <v>324508</v>
          </cell>
          <cell r="M42">
            <v>148654</v>
          </cell>
        </row>
        <row r="43">
          <cell r="B43">
            <v>2500</v>
          </cell>
          <cell r="E43"/>
          <cell r="J43"/>
          <cell r="M43"/>
        </row>
        <row r="44">
          <cell r="B44">
            <v>891520648</v>
          </cell>
          <cell r="E44">
            <v>995927338</v>
          </cell>
          <cell r="J44">
            <v>972916919</v>
          </cell>
          <cell r="M44">
            <v>906250159</v>
          </cell>
        </row>
        <row r="46">
          <cell r="B46">
            <v>1496</v>
          </cell>
          <cell r="E46">
            <v>746</v>
          </cell>
          <cell r="J46">
            <v>746</v>
          </cell>
          <cell r="M46">
            <v>746</v>
          </cell>
        </row>
        <row r="50">
          <cell r="B50">
            <v>26741</v>
          </cell>
          <cell r="E50"/>
          <cell r="J50"/>
          <cell r="M50"/>
        </row>
        <row r="51">
          <cell r="B51"/>
          <cell r="E51"/>
          <cell r="J51"/>
          <cell r="M51"/>
        </row>
        <row r="52">
          <cell r="B52">
            <v>397463612</v>
          </cell>
          <cell r="J52">
            <v>379708764</v>
          </cell>
          <cell r="M52">
            <v>365016548</v>
          </cell>
        </row>
        <row r="54">
          <cell r="B54">
            <v>188</v>
          </cell>
          <cell r="J54">
            <v>110</v>
          </cell>
          <cell r="M54"/>
        </row>
        <row r="55">
          <cell r="B55">
            <v>180000</v>
          </cell>
        </row>
        <row r="57">
          <cell r="B57">
            <v>10202212</v>
          </cell>
          <cell r="J57">
            <v>5588581</v>
          </cell>
          <cell r="M57">
            <v>5287880</v>
          </cell>
        </row>
        <row r="58">
          <cell r="B58">
            <v>0</v>
          </cell>
          <cell r="J58">
            <v>90000</v>
          </cell>
          <cell r="M58"/>
        </row>
        <row r="59">
          <cell r="B59">
            <v>395633698</v>
          </cell>
          <cell r="E59">
            <v>407082948</v>
          </cell>
          <cell r="J59">
            <v>361583412</v>
          </cell>
          <cell r="M59">
            <v>299245474</v>
          </cell>
        </row>
        <row r="61">
          <cell r="B61">
            <v>40165</v>
          </cell>
          <cell r="E61">
            <v>215130</v>
          </cell>
          <cell r="J61">
            <v>175575</v>
          </cell>
          <cell r="M61">
            <v>175575</v>
          </cell>
        </row>
        <row r="63">
          <cell r="B63">
            <v>0</v>
          </cell>
          <cell r="E63">
            <v>314866</v>
          </cell>
          <cell r="J63">
            <v>138772</v>
          </cell>
          <cell r="M63"/>
        </row>
        <row r="64">
          <cell r="B64">
            <v>142746</v>
          </cell>
          <cell r="E64">
            <v>417396</v>
          </cell>
          <cell r="J64">
            <v>143509</v>
          </cell>
          <cell r="M64">
            <v>15556</v>
          </cell>
        </row>
        <row r="65">
          <cell r="B65">
            <v>668073002</v>
          </cell>
          <cell r="E65">
            <v>672405711</v>
          </cell>
          <cell r="J65">
            <v>639596187</v>
          </cell>
          <cell r="M65">
            <v>276989290</v>
          </cell>
        </row>
        <row r="67">
          <cell r="B67">
            <v>562</v>
          </cell>
          <cell r="E67">
            <v>374</v>
          </cell>
          <cell r="J67">
            <v>374</v>
          </cell>
          <cell r="M67">
            <v>374</v>
          </cell>
        </row>
        <row r="69">
          <cell r="B69">
            <v>20721487</v>
          </cell>
          <cell r="E69">
            <v>17998008</v>
          </cell>
          <cell r="J69">
            <v>12941187</v>
          </cell>
          <cell r="M69">
            <v>11603508</v>
          </cell>
        </row>
        <row r="70">
          <cell r="B70">
            <v>0</v>
          </cell>
          <cell r="E70">
            <v>4033757</v>
          </cell>
          <cell r="J70">
            <v>9476</v>
          </cell>
          <cell r="M70"/>
        </row>
        <row r="71">
          <cell r="B71">
            <v>428816208</v>
          </cell>
          <cell r="J71">
            <v>434023738</v>
          </cell>
          <cell r="M71">
            <v>437596559</v>
          </cell>
        </row>
        <row r="73">
          <cell r="B73">
            <v>375</v>
          </cell>
          <cell r="J73">
            <v>187</v>
          </cell>
          <cell r="M73">
            <v>187</v>
          </cell>
        </row>
        <row r="74">
          <cell r="B74">
            <v>41370</v>
          </cell>
          <cell r="J74"/>
          <cell r="M74"/>
        </row>
        <row r="76">
          <cell r="B76">
            <v>0</v>
          </cell>
          <cell r="J76"/>
          <cell r="M76">
            <v>192300</v>
          </cell>
        </row>
        <row r="77">
          <cell r="B77">
            <v>668383816</v>
          </cell>
          <cell r="E77">
            <v>694688569</v>
          </cell>
          <cell r="J77">
            <v>699811351</v>
          </cell>
          <cell r="M77">
            <v>691271344</v>
          </cell>
        </row>
        <row r="79">
          <cell r="B79">
            <v>186345093</v>
          </cell>
          <cell r="E79">
            <v>199034611</v>
          </cell>
          <cell r="J79">
            <v>199901731</v>
          </cell>
          <cell r="M79">
            <v>198223788</v>
          </cell>
        </row>
        <row r="80">
          <cell r="B80">
            <v>163894</v>
          </cell>
          <cell r="E80">
            <v>172472</v>
          </cell>
        </row>
        <row r="82">
          <cell r="B82">
            <v>339993</v>
          </cell>
          <cell r="E82">
            <v>288589</v>
          </cell>
          <cell r="J82">
            <v>987180</v>
          </cell>
          <cell r="M82"/>
        </row>
        <row r="83">
          <cell r="B83">
            <v>189198</v>
          </cell>
          <cell r="E83">
            <v>472616</v>
          </cell>
          <cell r="J83"/>
          <cell r="M83"/>
        </row>
        <row r="84">
          <cell r="B84">
            <v>230820082</v>
          </cell>
          <cell r="E84">
            <v>254382097</v>
          </cell>
          <cell r="J84">
            <v>257362396</v>
          </cell>
          <cell r="M84">
            <v>274385260</v>
          </cell>
        </row>
        <row r="86">
          <cell r="B86"/>
          <cell r="E86">
            <v>375</v>
          </cell>
        </row>
        <row r="88">
          <cell r="B88">
            <v>281750</v>
          </cell>
          <cell r="E88">
            <v>305858</v>
          </cell>
          <cell r="J88">
            <v>4841</v>
          </cell>
          <cell r="M88">
            <v>6187</v>
          </cell>
        </row>
        <row r="89">
          <cell r="B89">
            <v>98709621</v>
          </cell>
          <cell r="J89">
            <v>78486050</v>
          </cell>
          <cell r="M89">
            <v>70765142</v>
          </cell>
        </row>
        <row r="91">
          <cell r="B91">
            <v>375</v>
          </cell>
          <cell r="J91">
            <v>374</v>
          </cell>
          <cell r="M91">
            <v>374</v>
          </cell>
        </row>
        <row r="92">
          <cell r="B92">
            <v>115122</v>
          </cell>
          <cell r="J92">
            <v>26219</v>
          </cell>
          <cell r="M92"/>
        </row>
        <row r="94">
          <cell r="B94">
            <v>258188</v>
          </cell>
          <cell r="J94">
            <v>770139</v>
          </cell>
          <cell r="M94">
            <v>2269556</v>
          </cell>
        </row>
        <row r="95">
          <cell r="B95">
            <v>1462563</v>
          </cell>
          <cell r="J95">
            <v>1199728</v>
          </cell>
          <cell r="M95">
            <v>11186</v>
          </cell>
        </row>
        <row r="96">
          <cell r="B96">
            <v>181991131</v>
          </cell>
          <cell r="J96">
            <v>162456932</v>
          </cell>
          <cell r="M96">
            <v>154014440</v>
          </cell>
        </row>
        <row r="98">
          <cell r="B98">
            <v>4453778</v>
          </cell>
          <cell r="J98">
            <v>1457047</v>
          </cell>
          <cell r="M98">
            <v>1292947</v>
          </cell>
        </row>
        <row r="100">
          <cell r="B100">
            <v>0</v>
          </cell>
          <cell r="J100"/>
          <cell r="M100"/>
        </row>
        <row r="101">
          <cell r="B101">
            <v>0</v>
          </cell>
          <cell r="J101"/>
          <cell r="M101"/>
        </row>
        <row r="102">
          <cell r="B102">
            <v>6470731</v>
          </cell>
          <cell r="E102">
            <v>6750649</v>
          </cell>
          <cell r="J102">
            <v>6382304</v>
          </cell>
          <cell r="M102">
            <v>6382304</v>
          </cell>
        </row>
        <row r="105">
          <cell r="B105">
            <v>1331255</v>
          </cell>
          <cell r="E105">
            <v>1281040</v>
          </cell>
          <cell r="J105">
            <v>1331255</v>
          </cell>
          <cell r="M105">
            <v>1331255</v>
          </cell>
        </row>
        <row r="108">
          <cell r="B108">
            <v>5477410</v>
          </cell>
          <cell r="E108">
            <v>5722422</v>
          </cell>
          <cell r="J108">
            <v>5930287</v>
          </cell>
          <cell r="M108">
            <v>5984346</v>
          </cell>
        </row>
        <row r="111">
          <cell r="B111">
            <v>815823542</v>
          </cell>
          <cell r="E111">
            <v>1170750050</v>
          </cell>
          <cell r="J111">
            <v>996310389</v>
          </cell>
          <cell r="M111">
            <v>989203820</v>
          </cell>
        </row>
        <row r="114">
          <cell r="B114">
            <v>17752</v>
          </cell>
          <cell r="E114">
            <v>113612</v>
          </cell>
          <cell r="J114"/>
        </row>
        <row r="116">
          <cell r="B116">
            <v>1715772</v>
          </cell>
          <cell r="E116">
            <v>2330564</v>
          </cell>
          <cell r="J116">
            <v>1996786</v>
          </cell>
          <cell r="M116">
            <v>2006844</v>
          </cell>
        </row>
        <row r="118">
          <cell r="B118">
            <v>28406100</v>
          </cell>
          <cell r="E118">
            <v>32511880</v>
          </cell>
          <cell r="J118">
            <v>35526693</v>
          </cell>
          <cell r="M118">
            <v>34504754</v>
          </cell>
        </row>
        <row r="121">
          <cell r="B121">
            <v>3620602</v>
          </cell>
          <cell r="J121">
            <v>501000</v>
          </cell>
          <cell r="M121">
            <v>863261</v>
          </cell>
        </row>
        <row r="123">
          <cell r="B123">
            <v>106508</v>
          </cell>
          <cell r="E123">
            <v>106508</v>
          </cell>
          <cell r="J123">
            <v>106508</v>
          </cell>
          <cell r="M123">
            <v>106508</v>
          </cell>
        </row>
        <row r="125">
          <cell r="B125">
            <v>25524153</v>
          </cell>
          <cell r="E125">
            <v>24640977</v>
          </cell>
          <cell r="J125">
            <v>23000131</v>
          </cell>
          <cell r="M125">
            <v>23725781</v>
          </cell>
        </row>
        <row r="127">
          <cell r="B127">
            <v>353304927</v>
          </cell>
          <cell r="E127">
            <v>364639608</v>
          </cell>
          <cell r="J127">
            <v>364450898</v>
          </cell>
          <cell r="M127">
            <v>364450898</v>
          </cell>
        </row>
        <row r="129">
          <cell r="B129">
            <v>58305582</v>
          </cell>
          <cell r="E129">
            <v>122938742</v>
          </cell>
          <cell r="J129">
            <v>265219282</v>
          </cell>
          <cell r="M129">
            <v>304356007</v>
          </cell>
        </row>
        <row r="131">
          <cell r="B131">
            <v>382116763</v>
          </cell>
          <cell r="J131">
            <v>550145370</v>
          </cell>
          <cell r="M131">
            <v>1223671832</v>
          </cell>
        </row>
        <row r="152">
          <cell r="B152">
            <v>2651198936</v>
          </cell>
          <cell r="E152">
            <v>2765726756</v>
          </cell>
          <cell r="J152">
            <v>3007319773</v>
          </cell>
          <cell r="M152">
            <v>3189054569</v>
          </cell>
        </row>
        <row r="154">
          <cell r="B154">
            <v>28359</v>
          </cell>
          <cell r="E154">
            <v>31005</v>
          </cell>
          <cell r="J154">
            <v>32813</v>
          </cell>
          <cell r="M154">
            <v>34625</v>
          </cell>
        </row>
      </sheetData>
      <sheetData sheetId="4"/>
      <sheetData sheetId="5"/>
      <sheetData sheetId="6">
        <row r="8">
          <cell r="B8">
            <v>1061413166</v>
          </cell>
          <cell r="J8">
            <v>1155831164</v>
          </cell>
          <cell r="M8">
            <v>1152182041</v>
          </cell>
        </row>
        <row r="9">
          <cell r="B9">
            <v>867919960</v>
          </cell>
          <cell r="J9">
            <v>731239920</v>
          </cell>
          <cell r="M9">
            <v>754281044</v>
          </cell>
        </row>
        <row r="10">
          <cell r="B10">
            <v>235011150</v>
          </cell>
          <cell r="J10">
            <v>255526509</v>
          </cell>
          <cell r="M10">
            <v>275723408</v>
          </cell>
        </row>
        <row r="12">
          <cell r="B12">
            <v>2163936085</v>
          </cell>
          <cell r="J12">
            <v>2367465534</v>
          </cell>
          <cell r="M12">
            <v>2580727115</v>
          </cell>
        </row>
        <row r="13">
          <cell r="B13">
            <v>415190997</v>
          </cell>
          <cell r="J13">
            <v>446010495</v>
          </cell>
          <cell r="M13">
            <v>448657048</v>
          </cell>
        </row>
        <row r="15">
          <cell r="B15">
            <v>282874574</v>
          </cell>
          <cell r="J15">
            <v>320191201</v>
          </cell>
          <cell r="M15">
            <v>339009400</v>
          </cell>
        </row>
        <row r="16">
          <cell r="B16">
            <v>34540084</v>
          </cell>
          <cell r="J16">
            <v>30616905</v>
          </cell>
          <cell r="M16">
            <v>27447000</v>
          </cell>
        </row>
        <row r="21">
          <cell r="B21">
            <v>504694795</v>
          </cell>
          <cell r="J21"/>
          <cell r="M21"/>
        </row>
        <row r="22">
          <cell r="B22">
            <v>29934914</v>
          </cell>
          <cell r="J22">
            <v>26552162</v>
          </cell>
          <cell r="M22">
            <v>4487000</v>
          </cell>
        </row>
        <row r="23">
          <cell r="B23">
            <v>205527765</v>
          </cell>
          <cell r="J23">
            <v>44202957</v>
          </cell>
          <cell r="M23">
            <v>30222868</v>
          </cell>
        </row>
        <row r="25">
          <cell r="B25">
            <v>59066065</v>
          </cell>
          <cell r="J25">
            <v>771374875</v>
          </cell>
          <cell r="M25">
            <v>804927911</v>
          </cell>
        </row>
        <row r="26">
          <cell r="B26">
            <v>2466828</v>
          </cell>
          <cell r="J26">
            <v>167112048</v>
          </cell>
          <cell r="M26">
            <v>164833475</v>
          </cell>
        </row>
        <row r="28">
          <cell r="B28">
            <v>394486455</v>
          </cell>
          <cell r="J28">
            <v>487799608</v>
          </cell>
          <cell r="M28">
            <v>451570567</v>
          </cell>
        </row>
        <row r="33">
          <cell r="B33">
            <v>18935851</v>
          </cell>
          <cell r="J33"/>
          <cell r="M33"/>
        </row>
        <row r="34">
          <cell r="B34">
            <v>26005129</v>
          </cell>
          <cell r="J34">
            <v>51360172</v>
          </cell>
          <cell r="M34">
            <v>34021206</v>
          </cell>
        </row>
        <row r="35">
          <cell r="B35">
            <v>706668</v>
          </cell>
          <cell r="J35">
            <v>20902026</v>
          </cell>
          <cell r="M35">
            <v>13145258</v>
          </cell>
        </row>
        <row r="37">
          <cell r="B37">
            <v>270000</v>
          </cell>
          <cell r="J37">
            <v>16485851</v>
          </cell>
          <cell r="M37">
            <v>16485851</v>
          </cell>
        </row>
        <row r="38">
          <cell r="B38">
            <v>8846</v>
          </cell>
          <cell r="J38">
            <v>421093</v>
          </cell>
          <cell r="M38">
            <v>293485</v>
          </cell>
        </row>
        <row r="47">
          <cell r="B47">
            <v>15286738</v>
          </cell>
          <cell r="J47">
            <v>15122918</v>
          </cell>
          <cell r="M47">
            <v>15122918</v>
          </cell>
        </row>
        <row r="48">
          <cell r="B48">
            <v>3777375</v>
          </cell>
          <cell r="J48">
            <v>3811795</v>
          </cell>
          <cell r="M48">
            <v>3811795</v>
          </cell>
        </row>
        <row r="49">
          <cell r="B49"/>
          <cell r="J49"/>
          <cell r="M49"/>
        </row>
        <row r="51">
          <cell r="B51">
            <v>1583463</v>
          </cell>
          <cell r="J51">
            <v>1805192</v>
          </cell>
          <cell r="M51">
            <v>1849826</v>
          </cell>
        </row>
        <row r="52">
          <cell r="B52">
            <v>2622215744</v>
          </cell>
          <cell r="J52">
            <v>2979295100</v>
          </cell>
          <cell r="M52">
            <v>3161051462</v>
          </cell>
        </row>
        <row r="54">
          <cell r="B54">
            <v>20025</v>
          </cell>
          <cell r="J54">
            <v>17896</v>
          </cell>
          <cell r="M54">
            <v>17896</v>
          </cell>
        </row>
        <row r="57">
          <cell r="B57">
            <v>6314885</v>
          </cell>
          <cell r="J57">
            <v>0</v>
          </cell>
          <cell r="M57"/>
        </row>
        <row r="58">
          <cell r="B58">
            <v>131627</v>
          </cell>
          <cell r="J58">
            <v>0</v>
          </cell>
          <cell r="M58"/>
        </row>
        <row r="60">
          <cell r="B60"/>
          <cell r="J60">
            <v>6130766</v>
          </cell>
          <cell r="M60">
            <v>6130766</v>
          </cell>
        </row>
        <row r="61">
          <cell r="B61"/>
          <cell r="J61">
            <v>131627</v>
          </cell>
          <cell r="M61">
            <v>131627</v>
          </cell>
        </row>
        <row r="63">
          <cell r="B63">
            <v>1869079</v>
          </cell>
          <cell r="J63">
            <v>1004479</v>
          </cell>
          <cell r="M63">
            <v>938279</v>
          </cell>
        </row>
        <row r="65">
          <cell r="B65">
            <v>28359</v>
          </cell>
          <cell r="E65">
            <v>31005</v>
          </cell>
          <cell r="J65">
            <v>32813</v>
          </cell>
          <cell r="M65">
            <v>34625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11">
    <tabColor rgb="FF92D050"/>
  </sheetPr>
  <dimension ref="A1:O20"/>
  <sheetViews>
    <sheetView tabSelected="1" view="pageLayout" zoomScale="85" zoomScaleNormal="70" zoomScalePageLayoutView="85" workbookViewId="0">
      <selection activeCell="H6" sqref="H6"/>
    </sheetView>
  </sheetViews>
  <sheetFormatPr defaultColWidth="7.5703125" defaultRowHeight="15.75"/>
  <cols>
    <col min="1" max="1" width="43.28515625" style="2" customWidth="1"/>
    <col min="2" max="2" width="16.28515625" style="1" customWidth="1"/>
    <col min="3" max="3" width="8.5703125" style="1" customWidth="1"/>
    <col min="4" max="4" width="7.28515625" style="1" customWidth="1"/>
    <col min="5" max="5" width="16.140625" style="1" customWidth="1"/>
    <col min="6" max="6" width="7.7109375" style="1" customWidth="1"/>
    <col min="7" max="7" width="7" style="1" customWidth="1"/>
    <col min="8" max="8" width="17.85546875" style="1" customWidth="1"/>
    <col min="9" max="9" width="12.85546875" style="1" customWidth="1"/>
    <col min="10" max="10" width="16" style="1" customWidth="1"/>
    <col min="11" max="11" width="8.28515625" style="1" customWidth="1"/>
    <col min="12" max="12" width="7.28515625" style="1" customWidth="1"/>
    <col min="13" max="13" width="17.7109375" style="1" customWidth="1"/>
    <col min="14" max="14" width="7.5703125" style="1"/>
    <col min="15" max="15" width="8" style="1" customWidth="1"/>
    <col min="16" max="16384" width="7.5703125" style="1"/>
  </cols>
  <sheetData>
    <row r="1" spans="1:15">
      <c r="E1" s="3"/>
      <c r="F1" s="3"/>
      <c r="J1" s="3"/>
      <c r="M1" s="289"/>
    </row>
    <row r="2" spans="1:15" s="222" customFormat="1" ht="19.5">
      <c r="A2" s="352" t="s">
        <v>125</v>
      </c>
      <c r="B2" s="352"/>
      <c r="C2" s="352"/>
      <c r="D2" s="352"/>
      <c r="E2" s="352"/>
      <c r="F2" s="352"/>
      <c r="G2" s="352"/>
      <c r="H2" s="352"/>
      <c r="I2" s="352"/>
      <c r="J2" s="1"/>
      <c r="K2" s="1"/>
      <c r="L2" s="1"/>
      <c r="M2" s="1"/>
      <c r="N2" s="1"/>
      <c r="O2" s="1"/>
    </row>
    <row r="4" spans="1:15" ht="63.75">
      <c r="A4" s="200"/>
      <c r="B4" s="199" t="s">
        <v>140</v>
      </c>
      <c r="C4" s="199" t="s">
        <v>1</v>
      </c>
      <c r="D4" s="199" t="s">
        <v>2</v>
      </c>
      <c r="E4" s="199" t="s">
        <v>158</v>
      </c>
      <c r="F4" s="199" t="s">
        <v>1</v>
      </c>
      <c r="G4" s="199" t="s">
        <v>2</v>
      </c>
      <c r="H4" s="199" t="s">
        <v>141</v>
      </c>
      <c r="I4" s="199" t="s">
        <v>142</v>
      </c>
      <c r="J4" s="199" t="s">
        <v>143</v>
      </c>
      <c r="K4" s="199" t="s">
        <v>1</v>
      </c>
      <c r="L4" s="199" t="s">
        <v>2</v>
      </c>
      <c r="M4" s="199" t="s">
        <v>144</v>
      </c>
      <c r="N4" s="199" t="s">
        <v>1</v>
      </c>
      <c r="O4" s="199" t="s">
        <v>2</v>
      </c>
    </row>
    <row r="5" spans="1:15">
      <c r="A5" s="8" t="s">
        <v>55</v>
      </c>
      <c r="B5" s="9">
        <f>[2]pb_spb_funk!B5-[2]pb_spb_funk!B6</f>
        <v>1190642921</v>
      </c>
      <c r="C5" s="10">
        <f>B5/$B$15*100</f>
        <v>13.297050334032578</v>
      </c>
      <c r="D5" s="10">
        <f>B5/$B$19/1000000*100</f>
        <v>4.1984658168482669</v>
      </c>
      <c r="E5" s="9">
        <v>1341974272</v>
      </c>
      <c r="F5" s="10">
        <f t="shared" ref="F5:F15" si="0">E5/$E$15*100</f>
        <v>14.289253899419368</v>
      </c>
      <c r="G5" s="10">
        <f>E5/$E$19/1000000*100</f>
        <v>4.3282511594904047</v>
      </c>
      <c r="H5" s="9">
        <f>E5-B5</f>
        <v>151331351</v>
      </c>
      <c r="I5" s="11">
        <f>E5/B5*100-100</f>
        <v>12.710053394757466</v>
      </c>
      <c r="J5" s="9">
        <f>[2]pb_spb_funk!J5-[2]pb_spb_funk!J6</f>
        <v>1454709817</v>
      </c>
      <c r="K5" s="10">
        <f>J5/$J$15*100</f>
        <v>14.693426636671889</v>
      </c>
      <c r="L5" s="10">
        <f>J5/$J$19/1000000*100</f>
        <v>4.433333791485083</v>
      </c>
      <c r="M5" s="9">
        <f>[2]pb_spb_funk!M5-[2]pb_spb_funk!M6</f>
        <v>1421001062</v>
      </c>
      <c r="N5" s="10">
        <f>M5/$M$15*100</f>
        <v>13.813468423502046</v>
      </c>
      <c r="O5" s="10">
        <f>M5/$M$19/1000000*100</f>
        <v>4.1039741862815884</v>
      </c>
    </row>
    <row r="6" spans="1:15">
      <c r="A6" s="16" t="s">
        <v>124</v>
      </c>
      <c r="B6" s="14">
        <f>[2]pb_spb_funk!B7-[2]pb_spb_funk!B8</f>
        <v>574828567</v>
      </c>
      <c r="C6" s="13">
        <f t="shared" ref="C6:C14" si="1">B6/$B$15*100</f>
        <v>6.4196613896794155</v>
      </c>
      <c r="D6" s="13">
        <f t="shared" ref="D6:D15" si="2">B6/$B$19/1000000*100</f>
        <v>2.0269705102436619</v>
      </c>
      <c r="E6" s="14">
        <v>632619546</v>
      </c>
      <c r="F6" s="259">
        <f t="shared" si="0"/>
        <v>6.7360913716007591</v>
      </c>
      <c r="G6" s="259">
        <f t="shared" ref="G6:G15" si="3">E6/$E$19/1000000*100</f>
        <v>2.0403791194968557</v>
      </c>
      <c r="H6" s="17">
        <f t="shared" ref="H6:H14" si="4">E6-B6</f>
        <v>57790979</v>
      </c>
      <c r="I6" s="260">
        <f t="shared" ref="I6:I14" si="5">E6/B6*100-100</f>
        <v>10.053602468229457</v>
      </c>
      <c r="J6" s="14">
        <f>[2]pb_spb_funk!J7-[2]pb_spb_funk!J8</f>
        <v>654400916</v>
      </c>
      <c r="K6" s="13">
        <f t="shared" ref="K6:K15" si="6">J6/$J$15*100</f>
        <v>6.6098349910406098</v>
      </c>
      <c r="L6" s="13">
        <f t="shared" ref="L6:L15" si="7">J6/$J$19/1000000*100</f>
        <v>1.9943343065248531</v>
      </c>
      <c r="M6" s="14">
        <f>[2]pb_spb_funk!M7-[2]pb_spb_funk!M8</f>
        <v>712591329</v>
      </c>
      <c r="N6" s="13">
        <f t="shared" ref="N6:N15" si="8">M6/$M$15*100</f>
        <v>6.9270587371333416</v>
      </c>
      <c r="O6" s="13">
        <f t="shared" ref="O6:O15" si="9">M6/$M$19/1000000*100</f>
        <v>2.0580254989169675</v>
      </c>
    </row>
    <row r="7" spans="1:15">
      <c r="A7" s="16" t="s">
        <v>5</v>
      </c>
      <c r="B7" s="14">
        <f>[2]pb_spb_funk!B9-[2]pb_spb_funk!B10</f>
        <v>571175597</v>
      </c>
      <c r="C7" s="13">
        <f t="shared" si="1"/>
        <v>6.3788651735326676</v>
      </c>
      <c r="D7" s="13">
        <f t="shared" si="2"/>
        <v>2.0140893437709368</v>
      </c>
      <c r="E7" s="14">
        <v>630140582</v>
      </c>
      <c r="F7" s="259">
        <f t="shared" si="0"/>
        <v>6.7096955257618314</v>
      </c>
      <c r="G7" s="259">
        <f t="shared" si="3"/>
        <v>2.0323837510079019</v>
      </c>
      <c r="H7" s="17">
        <f t="shared" si="4"/>
        <v>58964985</v>
      </c>
      <c r="I7" s="260">
        <f t="shared" si="5"/>
        <v>10.323442617244737</v>
      </c>
      <c r="J7" s="14">
        <f>[2]pb_spb_funk!J9-[2]pb_spb_funk!J10</f>
        <v>578386061</v>
      </c>
      <c r="K7" s="13">
        <f t="shared" si="6"/>
        <v>5.8420401482566824</v>
      </c>
      <c r="L7" s="13">
        <f t="shared" si="7"/>
        <v>1.7626735165940328</v>
      </c>
      <c r="M7" s="14">
        <f>[2]pb_spb_funk!M9-[2]pb_spb_funk!M10</f>
        <v>557304032</v>
      </c>
      <c r="N7" s="13">
        <f t="shared" si="8"/>
        <v>5.4175199823477493</v>
      </c>
      <c r="O7" s="13">
        <f t="shared" si="9"/>
        <v>1.6095423306859207</v>
      </c>
    </row>
    <row r="8" spans="1:15">
      <c r="A8" s="16" t="s">
        <v>6</v>
      </c>
      <c r="B8" s="14">
        <f>[2]pb_spb_funk!B11-[2]pb_spb_funk!B12</f>
        <v>1475280375</v>
      </c>
      <c r="C8" s="13">
        <f t="shared" si="1"/>
        <v>16.475869513178299</v>
      </c>
      <c r="D8" s="13">
        <f t="shared" si="2"/>
        <v>5.202159367396594</v>
      </c>
      <c r="E8" s="14">
        <v>1345361357</v>
      </c>
      <c r="F8" s="259">
        <f t="shared" si="0"/>
        <v>14.32531935801552</v>
      </c>
      <c r="G8" s="259">
        <f t="shared" si="3"/>
        <v>4.339175478148686</v>
      </c>
      <c r="H8" s="17">
        <f t="shared" si="4"/>
        <v>-129919018</v>
      </c>
      <c r="I8" s="260">
        <f t="shared" si="5"/>
        <v>-8.8063950555839199</v>
      </c>
      <c r="J8" s="14">
        <f>[2]pb_spb_funk!J11-[2]pb_spb_funk!J12</f>
        <v>1605920388</v>
      </c>
      <c r="K8" s="13">
        <f t="shared" si="6"/>
        <v>16.220742535494729</v>
      </c>
      <c r="L8" s="13">
        <f t="shared" si="7"/>
        <v>4.8941589857678363</v>
      </c>
      <c r="M8" s="14">
        <f>[2]pb_spb_funk!M11-[2]pb_spb_funk!M12</f>
        <v>1879197273</v>
      </c>
      <c r="N8" s="13">
        <f t="shared" si="8"/>
        <v>18.26756705978919</v>
      </c>
      <c r="O8" s="13">
        <f t="shared" si="9"/>
        <v>5.4272845429602885</v>
      </c>
    </row>
    <row r="9" spans="1:15">
      <c r="A9" s="18" t="s">
        <v>7</v>
      </c>
      <c r="B9" s="17">
        <f>[2]pb_spb_funk!B13-[2]pb_spb_funk!B14</f>
        <v>51786715</v>
      </c>
      <c r="C9" s="13">
        <f t="shared" si="1"/>
        <v>0.57835186674678929</v>
      </c>
      <c r="D9" s="13">
        <f t="shared" si="2"/>
        <v>0.1826112168976339</v>
      </c>
      <c r="E9" s="17">
        <v>47961274</v>
      </c>
      <c r="F9" s="259">
        <f t="shared" si="0"/>
        <v>0.51068849517080817</v>
      </c>
      <c r="G9" s="259">
        <f t="shared" si="3"/>
        <v>0.15468883728430899</v>
      </c>
      <c r="H9" s="17">
        <f t="shared" si="4"/>
        <v>-3825441</v>
      </c>
      <c r="I9" s="260">
        <f t="shared" si="5"/>
        <v>-7.3869157369800433</v>
      </c>
      <c r="J9" s="17">
        <f>[2]pb_spb_funk!J13-[2]pb_spb_funk!J14</f>
        <v>38596150</v>
      </c>
      <c r="K9" s="13">
        <f t="shared" si="6"/>
        <v>0.38984386566697904</v>
      </c>
      <c r="L9" s="13">
        <f t="shared" si="7"/>
        <v>0.11762456953036905</v>
      </c>
      <c r="M9" s="17">
        <f>[2]pb_spb_funk!M13-[2]pb_spb_funk!M14</f>
        <v>34962498</v>
      </c>
      <c r="N9" s="13">
        <f t="shared" si="8"/>
        <v>0.3398684033705201</v>
      </c>
      <c r="O9" s="13">
        <f t="shared" si="9"/>
        <v>0.10097472346570398</v>
      </c>
    </row>
    <row r="10" spans="1:15">
      <c r="A10" s="16" t="s">
        <v>13</v>
      </c>
      <c r="B10" s="14">
        <f>[2]pb_spb_funk!B15</f>
        <v>12843130</v>
      </c>
      <c r="C10" s="13">
        <f t="shared" si="1"/>
        <v>0.14343153857841132</v>
      </c>
      <c r="D10" s="13">
        <f t="shared" si="2"/>
        <v>4.5287668817659298E-2</v>
      </c>
      <c r="E10" s="14">
        <v>12034341</v>
      </c>
      <c r="F10" s="259">
        <f t="shared" si="0"/>
        <v>0.12814087248104292</v>
      </c>
      <c r="G10" s="259">
        <f t="shared" si="3"/>
        <v>3.881419448476052E-2</v>
      </c>
      <c r="H10" s="17">
        <f t="shared" si="4"/>
        <v>-808789</v>
      </c>
      <c r="I10" s="260">
        <f t="shared" si="5"/>
        <v>-6.2974446260374179</v>
      </c>
      <c r="J10" s="14">
        <f>[2]pb_spb_funk!J15</f>
        <v>9496125</v>
      </c>
      <c r="K10" s="13">
        <f t="shared" si="6"/>
        <v>9.5916460031812534E-2</v>
      </c>
      <c r="L10" s="13">
        <f t="shared" si="7"/>
        <v>2.8940130436107644E-2</v>
      </c>
      <c r="M10" s="14">
        <f>[2]pb_spb_funk!M15</f>
        <v>9522344</v>
      </c>
      <c r="N10" s="13">
        <f t="shared" si="8"/>
        <v>9.2566150497165614E-2</v>
      </c>
      <c r="O10" s="13">
        <f t="shared" si="9"/>
        <v>2.7501354512635377E-2</v>
      </c>
    </row>
    <row r="11" spans="1:15">
      <c r="A11" s="16" t="s">
        <v>145</v>
      </c>
      <c r="B11" s="14">
        <f>[2]pb_spb_funk!B16</f>
        <v>990916418</v>
      </c>
      <c r="C11" s="13">
        <f t="shared" si="1"/>
        <v>11.066513103608557</v>
      </c>
      <c r="D11" s="13">
        <f t="shared" si="2"/>
        <v>3.4941867414224759</v>
      </c>
      <c r="E11" s="14">
        <v>1138597649</v>
      </c>
      <c r="F11" s="259">
        <f t="shared" si="0"/>
        <v>12.123712976699286</v>
      </c>
      <c r="G11" s="259">
        <f t="shared" si="3"/>
        <v>3.6723033349459762</v>
      </c>
      <c r="H11" s="17">
        <f t="shared" si="4"/>
        <v>147681231</v>
      </c>
      <c r="I11" s="260">
        <f t="shared" si="5"/>
        <v>14.903500266760133</v>
      </c>
      <c r="J11" s="14">
        <f>[2]pb_spb_funk!J16</f>
        <v>1108807679</v>
      </c>
      <c r="K11" s="13">
        <f t="shared" si="6"/>
        <v>11.199611149365696</v>
      </c>
      <c r="L11" s="13">
        <f t="shared" si="7"/>
        <v>3.3791719105232683</v>
      </c>
      <c r="M11" s="14">
        <f>[2]pb_spb_funk!M16</f>
        <v>1107423110</v>
      </c>
      <c r="N11" s="13">
        <f t="shared" si="8"/>
        <v>10.765195446026651</v>
      </c>
      <c r="O11" s="13">
        <f t="shared" si="9"/>
        <v>3.198333891696751</v>
      </c>
    </row>
    <row r="12" spans="1:15">
      <c r="A12" s="16" t="s">
        <v>9</v>
      </c>
      <c r="B12" s="14">
        <f>[2]pb_spb_funk!B17</f>
        <v>188749559</v>
      </c>
      <c r="C12" s="13">
        <f t="shared" si="1"/>
        <v>2.1079471790261892</v>
      </c>
      <c r="D12" s="13">
        <f t="shared" si="2"/>
        <v>0.66557198420254593</v>
      </c>
      <c r="E12" s="14">
        <v>158654597</v>
      </c>
      <c r="F12" s="259">
        <f t="shared" si="0"/>
        <v>1.6893437274802379</v>
      </c>
      <c r="G12" s="259">
        <f t="shared" si="3"/>
        <v>0.51170648927592322</v>
      </c>
      <c r="H12" s="17">
        <f t="shared" si="4"/>
        <v>-30094962</v>
      </c>
      <c r="I12" s="260">
        <f t="shared" si="5"/>
        <v>-15.944387981325036</v>
      </c>
      <c r="J12" s="14">
        <f>[2]pb_spb_funk!J17</f>
        <v>154295092</v>
      </c>
      <c r="K12" s="13">
        <f t="shared" si="6"/>
        <v>1.5584713791070399</v>
      </c>
      <c r="L12" s="13">
        <f t="shared" si="7"/>
        <v>0.47022549599244207</v>
      </c>
      <c r="M12" s="14">
        <f>[2]pb_spb_funk!M17</f>
        <v>139574043</v>
      </c>
      <c r="N12" s="13">
        <f t="shared" si="8"/>
        <v>1.3567911293517505</v>
      </c>
      <c r="O12" s="13">
        <f t="shared" si="9"/>
        <v>0.40310192924187727</v>
      </c>
    </row>
    <row r="13" spans="1:15">
      <c r="A13" s="16" t="s">
        <v>10</v>
      </c>
      <c r="B13" s="14">
        <f>[2]pb_spb_funk!B18</f>
        <v>756365085</v>
      </c>
      <c r="C13" s="13">
        <f t="shared" si="1"/>
        <v>8.447053628557903</v>
      </c>
      <c r="D13" s="13">
        <f t="shared" si="2"/>
        <v>2.6671077435734691</v>
      </c>
      <c r="E13" s="14">
        <v>799172292</v>
      </c>
      <c r="F13" s="259">
        <f t="shared" si="0"/>
        <v>8.5095340708356844</v>
      </c>
      <c r="G13" s="259">
        <f t="shared" si="3"/>
        <v>2.5775594000967588</v>
      </c>
      <c r="H13" s="17">
        <f t="shared" si="4"/>
        <v>42807207</v>
      </c>
      <c r="I13" s="260">
        <f t="shared" si="5"/>
        <v>5.659595855088952</v>
      </c>
      <c r="J13" s="14">
        <f>[2]pb_spb_funk!J18</f>
        <v>758085370</v>
      </c>
      <c r="K13" s="13">
        <f t="shared" si="6"/>
        <v>7.6571090936889323</v>
      </c>
      <c r="L13" s="13">
        <f t="shared" si="7"/>
        <v>2.3103202084539665</v>
      </c>
      <c r="M13" s="14">
        <f>[2]pb_spb_funk!M18</f>
        <v>704342146</v>
      </c>
      <c r="N13" s="13">
        <f t="shared" si="8"/>
        <v>6.8468689104418612</v>
      </c>
      <c r="O13" s="13">
        <f t="shared" si="9"/>
        <v>2.0342011436823104</v>
      </c>
    </row>
    <row r="14" spans="1:15">
      <c r="A14" s="186" t="s">
        <v>11</v>
      </c>
      <c r="B14" s="187">
        <f>[2]pb_spb_funk!B19-[2]pb_spb_funk!B20+[2]pb_spb_funk!B27</f>
        <v>3141599901</v>
      </c>
      <c r="C14" s="188">
        <f t="shared" si="1"/>
        <v>35.085256273059187</v>
      </c>
      <c r="D14" s="188">
        <f t="shared" si="2"/>
        <v>11.07796431820586</v>
      </c>
      <c r="E14" s="187">
        <v>3284977036</v>
      </c>
      <c r="F14" s="261">
        <f t="shared" si="0"/>
        <v>34.978219702535462</v>
      </c>
      <c r="G14" s="261">
        <f t="shared" si="3"/>
        <v>10.594991246573134</v>
      </c>
      <c r="H14" s="189">
        <f t="shared" si="4"/>
        <v>143377135</v>
      </c>
      <c r="I14" s="262">
        <f t="shared" si="5"/>
        <v>4.5638254239300835</v>
      </c>
      <c r="J14" s="187">
        <f>[2]pb_spb_funk!J19-[2]pb_spb_funk!J20+[2]pb_spb_funk!J27</f>
        <v>3537714695</v>
      </c>
      <c r="K14" s="188">
        <f t="shared" si="6"/>
        <v>35.733003740675628</v>
      </c>
      <c r="L14" s="188">
        <f t="shared" si="7"/>
        <v>10.781442400877701</v>
      </c>
      <c r="M14" s="187">
        <f>[2]pb_spb_funk!M19-[2]pb_spb_funk!M20+[2]pb_spb_funk!M27</f>
        <v>3721151409</v>
      </c>
      <c r="N14" s="188">
        <f t="shared" si="8"/>
        <v>36.173095757539727</v>
      </c>
      <c r="O14" s="188">
        <f t="shared" si="9"/>
        <v>10.747007679422383</v>
      </c>
    </row>
    <row r="15" spans="1:15">
      <c r="A15" s="167" t="s">
        <v>0</v>
      </c>
      <c r="B15" s="168">
        <f>SUM(B5:B14)</f>
        <v>8954188268</v>
      </c>
      <c r="C15" s="169">
        <f>B15/$B$15*100</f>
        <v>100</v>
      </c>
      <c r="D15" s="169">
        <f t="shared" si="2"/>
        <v>31.574414711379102</v>
      </c>
      <c r="E15" s="168">
        <f>SUM(E5:E14)</f>
        <v>9391492946</v>
      </c>
      <c r="F15" s="169">
        <f t="shared" si="0"/>
        <v>100</v>
      </c>
      <c r="G15" s="169">
        <f t="shared" si="3"/>
        <v>30.290253010804708</v>
      </c>
      <c r="H15" s="170">
        <f>E15-B15</f>
        <v>437304678</v>
      </c>
      <c r="I15" s="171">
        <f>E15/B15*100-100</f>
        <v>4.8838003503099969</v>
      </c>
      <c r="J15" s="168">
        <f>SUM(J5:J14)</f>
        <v>9900412293</v>
      </c>
      <c r="K15" s="169">
        <f t="shared" si="6"/>
        <v>100</v>
      </c>
      <c r="L15" s="169">
        <f t="shared" si="7"/>
        <v>30.172225316185656</v>
      </c>
      <c r="M15" s="168">
        <f>SUM(M5:M14)</f>
        <v>10287069246</v>
      </c>
      <c r="N15" s="169">
        <f t="shared" si="8"/>
        <v>100</v>
      </c>
      <c r="O15" s="169">
        <f t="shared" si="9"/>
        <v>29.709947280866427</v>
      </c>
    </row>
    <row r="16" spans="1:15">
      <c r="A16" s="353" t="s">
        <v>138</v>
      </c>
      <c r="B16" s="354"/>
      <c r="C16" s="354"/>
      <c r="D16" s="354"/>
      <c r="E16" s="354"/>
      <c r="F16" s="354"/>
      <c r="G16" s="354"/>
      <c r="H16" s="354"/>
      <c r="I16" s="354"/>
    </row>
    <row r="17" spans="1:15">
      <c r="A17" s="355" t="s">
        <v>146</v>
      </c>
      <c r="B17" s="356"/>
      <c r="C17" s="356"/>
      <c r="D17" s="356"/>
      <c r="E17" s="356"/>
      <c r="F17" s="356"/>
      <c r="G17" s="356"/>
      <c r="H17" s="356"/>
      <c r="I17" s="356"/>
    </row>
    <row r="18" spans="1:15">
      <c r="E18" s="3"/>
      <c r="F18" s="3"/>
      <c r="H18" s="3"/>
      <c r="J18" s="3"/>
      <c r="M18" s="289"/>
    </row>
    <row r="19" spans="1:15">
      <c r="A19" s="220" t="s">
        <v>121</v>
      </c>
      <c r="B19" s="255">
        <f>[2]pb_spb_funk!B29</f>
        <v>28359</v>
      </c>
      <c r="C19" s="221"/>
      <c r="D19" s="221"/>
      <c r="E19" s="255">
        <f>[2]pb_spb_funk!E29</f>
        <v>31005</v>
      </c>
      <c r="F19" s="222"/>
      <c r="G19" s="222"/>
      <c r="H19" s="222"/>
      <c r="I19" s="222"/>
      <c r="J19" s="255">
        <f>[2]pb_spb_funk!J29</f>
        <v>32813</v>
      </c>
      <c r="K19" s="222"/>
      <c r="L19" s="222"/>
      <c r="M19" s="255">
        <f>[2]pb_spb_funk!M29</f>
        <v>34625</v>
      </c>
      <c r="N19" s="222"/>
      <c r="O19" s="222"/>
    </row>
    <row r="20" spans="1:15">
      <c r="G20" s="203"/>
    </row>
  </sheetData>
  <mergeCells count="3">
    <mergeCell ref="A2:I2"/>
    <mergeCell ref="A16:I16"/>
    <mergeCell ref="A17:I17"/>
  </mergeCells>
  <phoneticPr fontId="0" type="noConversion"/>
  <pageMargins left="0.39370078740157483" right="0.19685039370078741" top="0.6692913385826772" bottom="0.43307086614173229" header="0.39370078740157483" footer="0.19685039370078741"/>
  <pageSetup paperSize="9" scale="70" firstPageNumber="930" orientation="landscape" useFirstPageNumber="1" r:id="rId1"/>
  <headerFooter alignWithMargins="0">
    <oddHeader>&amp;C&amp;P</oddHeader>
    <oddFooter>&amp;LFMPask_L_090519_bud2019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S29"/>
  <sheetViews>
    <sheetView view="pageLayout" zoomScale="85" zoomScaleNormal="70" zoomScalePageLayoutView="85" workbookViewId="0">
      <selection activeCell="E6" sqref="E6"/>
    </sheetView>
  </sheetViews>
  <sheetFormatPr defaultColWidth="7.5703125" defaultRowHeight="15.75"/>
  <cols>
    <col min="1" max="1" width="42.140625" style="2" customWidth="1"/>
    <col min="2" max="2" width="18.28515625" style="23" customWidth="1"/>
    <col min="3" max="3" width="7.5703125" style="22" customWidth="1"/>
    <col min="4" max="4" width="7.42578125" style="22" customWidth="1"/>
    <col min="5" max="5" width="18.140625" style="23" customWidth="1"/>
    <col min="6" max="6" width="7.5703125" style="22" customWidth="1"/>
    <col min="7" max="7" width="7.140625" style="22" customWidth="1"/>
    <col min="8" max="8" width="17.5703125" style="22" customWidth="1"/>
    <col min="9" max="9" width="15.28515625" style="22" customWidth="1"/>
    <col min="10" max="10" width="17.28515625" style="23" customWidth="1"/>
    <col min="11" max="11" width="7.5703125" style="22" customWidth="1"/>
    <col min="12" max="12" width="7.42578125" style="22" customWidth="1"/>
    <col min="13" max="13" width="16" style="23" customWidth="1"/>
    <col min="14" max="14" width="7.5703125" style="22" customWidth="1"/>
    <col min="15" max="15" width="7.42578125" style="22" customWidth="1"/>
    <col min="16" max="16384" width="7.5703125" style="22"/>
  </cols>
  <sheetData>
    <row r="1" spans="1:15">
      <c r="A1" s="357"/>
      <c r="B1" s="357"/>
      <c r="C1" s="357"/>
      <c r="D1" s="357"/>
      <c r="E1" s="357"/>
      <c r="F1" s="357"/>
      <c r="G1" s="357"/>
      <c r="H1" s="357"/>
      <c r="I1" s="357"/>
      <c r="M1" s="251"/>
    </row>
    <row r="2" spans="1:15">
      <c r="A2" s="357" t="s">
        <v>126</v>
      </c>
      <c r="B2" s="357"/>
      <c r="C2" s="357"/>
      <c r="D2" s="357"/>
      <c r="E2" s="357"/>
      <c r="F2" s="357"/>
      <c r="G2" s="357"/>
      <c r="H2" s="357"/>
      <c r="I2" s="357"/>
      <c r="J2" s="22"/>
      <c r="M2" s="22"/>
    </row>
    <row r="3" spans="1:15">
      <c r="A3" s="4"/>
    </row>
    <row r="4" spans="1:15" ht="63.75">
      <c r="A4" s="200" t="s">
        <v>4</v>
      </c>
      <c r="B4" s="199" t="s">
        <v>140</v>
      </c>
      <c r="C4" s="199" t="s">
        <v>1</v>
      </c>
      <c r="D4" s="199" t="s">
        <v>2</v>
      </c>
      <c r="E4" s="199" t="s">
        <v>158</v>
      </c>
      <c r="F4" s="199" t="s">
        <v>1</v>
      </c>
      <c r="G4" s="199" t="s">
        <v>2</v>
      </c>
      <c r="H4" s="199" t="s">
        <v>141</v>
      </c>
      <c r="I4" s="199" t="s">
        <v>142</v>
      </c>
      <c r="J4" s="199" t="s">
        <v>143</v>
      </c>
      <c r="K4" s="199" t="s">
        <v>1</v>
      </c>
      <c r="L4" s="199" t="s">
        <v>2</v>
      </c>
      <c r="M4" s="199" t="s">
        <v>144</v>
      </c>
      <c r="N4" s="199" t="s">
        <v>1</v>
      </c>
      <c r="O4" s="199" t="s">
        <v>2</v>
      </c>
    </row>
    <row r="5" spans="1:15">
      <c r="A5" s="8" t="s">
        <v>55</v>
      </c>
      <c r="B5" s="24">
        <v>1190663122</v>
      </c>
      <c r="C5" s="25">
        <f t="shared" ref="C5:C20" si="0">B5/$B$21*100</f>
        <v>18.34793390469595</v>
      </c>
      <c r="D5" s="25">
        <f t="shared" ref="D5:D21" si="1">B5/$B$29/1000000*100</f>
        <v>4.1985370499665011</v>
      </c>
      <c r="E5" s="24">
        <v>1341991986</v>
      </c>
      <c r="F5" s="303">
        <f t="shared" ref="F5:F21" si="2">E5/$E$21*100</f>
        <v>19.663380021642752</v>
      </c>
      <c r="G5" s="303">
        <f t="shared" ref="G5:G21" si="3">E5/$E$29/1000000*100</f>
        <v>4.3283082922109335</v>
      </c>
      <c r="H5" s="24">
        <f t="shared" ref="H5:H20" si="4">E5-B5</f>
        <v>151328864</v>
      </c>
      <c r="I5" s="303">
        <f>E5/B5*100-100</f>
        <v>12.709628878553602</v>
      </c>
      <c r="J5" s="24">
        <v>1454727531</v>
      </c>
      <c r="K5" s="303">
        <f t="shared" ref="K5:K21" si="5">J5/$J$21*100</f>
        <v>20.509278143802344</v>
      </c>
      <c r="L5" s="303">
        <f t="shared" ref="L5:L21" si="6">J5/$J$29/1000000*100</f>
        <v>4.4333877761862679</v>
      </c>
      <c r="M5" s="24">
        <v>1421018776</v>
      </c>
      <c r="N5" s="25">
        <f t="shared" ref="N5:N21" si="7">M5/$M$21*100</f>
        <v>19.475973484334649</v>
      </c>
      <c r="O5" s="25">
        <f t="shared" ref="O5:O21" si="8">M5/$M$29/1000000*100</f>
        <v>4.1040253458483757</v>
      </c>
    </row>
    <row r="6" spans="1:15">
      <c r="A6" s="12" t="s">
        <v>12</v>
      </c>
      <c r="B6" s="31">
        <v>20201</v>
      </c>
      <c r="C6" s="263">
        <f t="shared" si="0"/>
        <v>3.1129427456035957E-4</v>
      </c>
      <c r="D6" s="263">
        <f t="shared" si="1"/>
        <v>7.1233118234070308E-5</v>
      </c>
      <c r="E6" s="31">
        <v>17714</v>
      </c>
      <c r="F6" s="263">
        <f t="shared" si="2"/>
        <v>2.5955230533200791E-4</v>
      </c>
      <c r="G6" s="263">
        <f t="shared" si="3"/>
        <v>5.713272052894694E-5</v>
      </c>
      <c r="H6" s="31">
        <f t="shared" si="4"/>
        <v>-2487</v>
      </c>
      <c r="I6" s="263">
        <f t="shared" ref="I6:I21" si="9">E6/B6*100-100</f>
        <v>-12.311271719221821</v>
      </c>
      <c r="J6" s="31">
        <v>17714</v>
      </c>
      <c r="K6" s="263">
        <f t="shared" si="5"/>
        <v>2.4973841856802995E-4</v>
      </c>
      <c r="L6" s="263">
        <f t="shared" si="6"/>
        <v>5.3984701185505746E-5</v>
      </c>
      <c r="M6" s="31">
        <v>17714</v>
      </c>
      <c r="N6" s="263">
        <f t="shared" si="7"/>
        <v>2.4278172824192436E-4</v>
      </c>
      <c r="O6" s="263">
        <f t="shared" si="8"/>
        <v>5.1159566787003611E-5</v>
      </c>
    </row>
    <row r="7" spans="1:15">
      <c r="A7" s="16" t="s">
        <v>124</v>
      </c>
      <c r="B7" s="27">
        <v>574829908</v>
      </c>
      <c r="C7" s="263">
        <f t="shared" si="0"/>
        <v>8.8580396617226</v>
      </c>
      <c r="D7" s="263">
        <f t="shared" si="1"/>
        <v>2.0269752389012305</v>
      </c>
      <c r="E7" s="27">
        <v>632627586</v>
      </c>
      <c r="F7" s="263">
        <f t="shared" si="2"/>
        <v>9.2695014318010092</v>
      </c>
      <c r="G7" s="263">
        <f t="shared" si="3"/>
        <v>2.0404050507982587</v>
      </c>
      <c r="H7" s="27">
        <f t="shared" si="4"/>
        <v>57797678</v>
      </c>
      <c r="I7" s="263">
        <f t="shared" si="9"/>
        <v>10.054744402756441</v>
      </c>
      <c r="J7" s="27">
        <v>654408956</v>
      </c>
      <c r="K7" s="263">
        <f t="shared" si="5"/>
        <v>9.2260956174887365</v>
      </c>
      <c r="L7" s="263">
        <f t="shared" si="6"/>
        <v>1.9943588090086246</v>
      </c>
      <c r="M7" s="27">
        <v>712599369</v>
      </c>
      <c r="N7" s="263">
        <f t="shared" si="7"/>
        <v>9.7666312718711072</v>
      </c>
      <c r="O7" s="263">
        <f t="shared" si="8"/>
        <v>2.0580487191335739</v>
      </c>
    </row>
    <row r="8" spans="1:15">
      <c r="A8" s="12" t="s">
        <v>12</v>
      </c>
      <c r="B8" s="28">
        <v>1341</v>
      </c>
      <c r="C8" s="264">
        <f t="shared" si="0"/>
        <v>2.0664601860573346E-5</v>
      </c>
      <c r="D8" s="264">
        <f t="shared" si="1"/>
        <v>4.7286575690257065E-6</v>
      </c>
      <c r="E8" s="28">
        <v>8040</v>
      </c>
      <c r="F8" s="264">
        <f t="shared" si="2"/>
        <v>1.178051560838514E-4</v>
      </c>
      <c r="G8" s="264">
        <f t="shared" si="3"/>
        <v>2.5931301402999516E-5</v>
      </c>
      <c r="H8" s="28">
        <f t="shared" si="4"/>
        <v>6699</v>
      </c>
      <c r="I8" s="299" t="s">
        <v>137</v>
      </c>
      <c r="J8" s="28">
        <v>8040</v>
      </c>
      <c r="K8" s="264">
        <f t="shared" si="5"/>
        <v>1.1335084595726323E-4</v>
      </c>
      <c r="L8" s="264">
        <f t="shared" si="6"/>
        <v>2.4502483771675856E-5</v>
      </c>
      <c r="M8" s="28">
        <v>8040</v>
      </c>
      <c r="N8" s="264">
        <f t="shared" si="7"/>
        <v>1.101933552594034E-4</v>
      </c>
      <c r="O8" s="264">
        <f t="shared" si="8"/>
        <v>2.3220216606498195E-5</v>
      </c>
    </row>
    <row r="9" spans="1:15">
      <c r="A9" s="16" t="s">
        <v>5</v>
      </c>
      <c r="B9" s="27">
        <v>571175785</v>
      </c>
      <c r="C9" s="263">
        <f t="shared" si="0"/>
        <v>8.8017301934567076</v>
      </c>
      <c r="D9" s="263">
        <f t="shared" si="1"/>
        <v>2.0140900066998131</v>
      </c>
      <c r="E9" s="27">
        <v>630141144</v>
      </c>
      <c r="F9" s="263">
        <f t="shared" si="2"/>
        <v>9.2330691323105309</v>
      </c>
      <c r="G9" s="263">
        <f t="shared" si="3"/>
        <v>2.0323855636187713</v>
      </c>
      <c r="H9" s="27">
        <f t="shared" si="4"/>
        <v>58965359</v>
      </c>
      <c r="I9" s="263">
        <f t="shared" si="9"/>
        <v>10.323504698295281</v>
      </c>
      <c r="J9" s="27">
        <v>578386171</v>
      </c>
      <c r="K9" s="263">
        <f t="shared" si="5"/>
        <v>8.1542987279642176</v>
      </c>
      <c r="L9" s="263">
        <f t="shared" si="6"/>
        <v>1.7626738518270197</v>
      </c>
      <c r="M9" s="27">
        <v>557304032</v>
      </c>
      <c r="N9" s="263">
        <f t="shared" si="7"/>
        <v>7.6382091026957619</v>
      </c>
      <c r="O9" s="263">
        <f t="shared" si="8"/>
        <v>1.6095423306859207</v>
      </c>
    </row>
    <row r="10" spans="1:15">
      <c r="A10" s="12" t="s">
        <v>12</v>
      </c>
      <c r="B10" s="28">
        <v>188</v>
      </c>
      <c r="C10" s="264">
        <f t="shared" si="0"/>
        <v>2.8970508201251225E-6</v>
      </c>
      <c r="D10" s="264">
        <f t="shared" si="1"/>
        <v>6.6292887619450615E-7</v>
      </c>
      <c r="E10" s="28">
        <v>562</v>
      </c>
      <c r="F10" s="264">
        <f t="shared" si="2"/>
        <v>8.2346390197916032E-6</v>
      </c>
      <c r="G10" s="264">
        <f t="shared" si="3"/>
        <v>1.812610869214643E-6</v>
      </c>
      <c r="H10" s="28">
        <f t="shared" si="4"/>
        <v>374</v>
      </c>
      <c r="I10" s="264">
        <f t="shared" si="9"/>
        <v>198.936170212766</v>
      </c>
      <c r="J10" s="28">
        <v>110</v>
      </c>
      <c r="K10" s="264">
        <f t="shared" si="5"/>
        <v>1.5508200317536012E-6</v>
      </c>
      <c r="L10" s="264">
        <f t="shared" si="6"/>
        <v>3.3523298692591352E-7</v>
      </c>
      <c r="M10" s="28"/>
      <c r="N10" s="264">
        <f t="shared" si="7"/>
        <v>0</v>
      </c>
      <c r="O10" s="264">
        <f t="shared" si="8"/>
        <v>0</v>
      </c>
    </row>
    <row r="11" spans="1:15">
      <c r="A11" s="16" t="s">
        <v>6</v>
      </c>
      <c r="B11" s="27">
        <v>1475281874</v>
      </c>
      <c r="C11" s="263">
        <f t="shared" si="0"/>
        <v>22.733864696741637</v>
      </c>
      <c r="D11" s="263">
        <f t="shared" si="1"/>
        <v>5.2021646531965162</v>
      </c>
      <c r="E11" s="27">
        <v>1345362479</v>
      </c>
      <c r="F11" s="263">
        <f t="shared" si="2"/>
        <v>19.712765774620923</v>
      </c>
      <c r="G11" s="263">
        <f t="shared" si="3"/>
        <v>4.3391790969198523</v>
      </c>
      <c r="H11" s="27">
        <f t="shared" si="4"/>
        <v>-129919395</v>
      </c>
      <c r="I11" s="263">
        <f t="shared" si="9"/>
        <v>-8.806411662046898</v>
      </c>
      <c r="J11" s="27">
        <v>1605921510</v>
      </c>
      <c r="K11" s="263">
        <f t="shared" si="5"/>
        <v>22.640865883018101</v>
      </c>
      <c r="L11" s="263">
        <f t="shared" si="6"/>
        <v>4.8941624051443027</v>
      </c>
      <c r="M11" s="27">
        <v>1879198395</v>
      </c>
      <c r="N11" s="263">
        <f t="shared" si="7"/>
        <v>25.755618948151206</v>
      </c>
      <c r="O11" s="263">
        <f t="shared" si="8"/>
        <v>5.4272877833935018</v>
      </c>
    </row>
    <row r="12" spans="1:15">
      <c r="A12" s="12" t="s">
        <v>12</v>
      </c>
      <c r="B12" s="31">
        <v>1499</v>
      </c>
      <c r="C12" s="265">
        <f t="shared" si="0"/>
        <v>2.3099357337061484E-5</v>
      </c>
      <c r="D12" s="265">
        <f t="shared" si="1"/>
        <v>5.2857999224232164E-6</v>
      </c>
      <c r="E12" s="31">
        <v>1122</v>
      </c>
      <c r="F12" s="265">
        <f t="shared" si="2"/>
        <v>1.6439973274388217E-5</v>
      </c>
      <c r="G12" s="265">
        <f t="shared" si="3"/>
        <v>3.6187711659409773E-6</v>
      </c>
      <c r="H12" s="31">
        <f t="shared" si="4"/>
        <v>-377</v>
      </c>
      <c r="I12" s="265">
        <f t="shared" si="9"/>
        <v>-25.150100066711147</v>
      </c>
      <c r="J12" s="31">
        <v>1122</v>
      </c>
      <c r="K12" s="265">
        <f t="shared" si="5"/>
        <v>1.5818364323886733E-5</v>
      </c>
      <c r="L12" s="265">
        <f t="shared" si="6"/>
        <v>3.4193764666443178E-6</v>
      </c>
      <c r="M12" s="31">
        <v>1122</v>
      </c>
      <c r="N12" s="265">
        <f t="shared" si="7"/>
        <v>1.5377729427991372E-5</v>
      </c>
      <c r="O12" s="265">
        <f t="shared" si="8"/>
        <v>3.24043321299639E-6</v>
      </c>
    </row>
    <row r="13" spans="1:15">
      <c r="A13" s="18" t="s">
        <v>7</v>
      </c>
      <c r="B13" s="27">
        <v>51787090</v>
      </c>
      <c r="C13" s="263">
        <f t="shared" si="0"/>
        <v>0.79803101891698702</v>
      </c>
      <c r="D13" s="263">
        <f t="shared" si="1"/>
        <v>0.18261253922916887</v>
      </c>
      <c r="E13" s="27">
        <v>47961648</v>
      </c>
      <c r="F13" s="263">
        <f t="shared" si="2"/>
        <v>0.70275241650233067</v>
      </c>
      <c r="G13" s="263">
        <f t="shared" si="3"/>
        <v>0.15469004354136429</v>
      </c>
      <c r="H13" s="27">
        <f t="shared" si="4"/>
        <v>-3825442</v>
      </c>
      <c r="I13" s="263">
        <f t="shared" si="9"/>
        <v>-7.3868641779254176</v>
      </c>
      <c r="J13" s="27">
        <v>38596524</v>
      </c>
      <c r="K13" s="263">
        <f t="shared" si="5"/>
        <v>0.54414784159326035</v>
      </c>
      <c r="L13" s="263">
        <f t="shared" si="6"/>
        <v>0.11762570932252461</v>
      </c>
      <c r="M13" s="27">
        <v>34962872</v>
      </c>
      <c r="N13" s="263">
        <f t="shared" si="7"/>
        <v>0.4791885790031154</v>
      </c>
      <c r="O13" s="263">
        <f t="shared" si="8"/>
        <v>0.1009758036101083</v>
      </c>
    </row>
    <row r="14" spans="1:15">
      <c r="A14" s="12" t="s">
        <v>12</v>
      </c>
      <c r="B14" s="31">
        <v>375</v>
      </c>
      <c r="C14" s="265">
        <f t="shared" si="0"/>
        <v>5.7786917954623456E-6</v>
      </c>
      <c r="D14" s="265">
        <f t="shared" si="1"/>
        <v>1.3223315349624457E-6</v>
      </c>
      <c r="E14" s="31">
        <v>374</v>
      </c>
      <c r="F14" s="265">
        <f t="shared" si="2"/>
        <v>5.4799910914627384E-6</v>
      </c>
      <c r="G14" s="265">
        <f t="shared" si="3"/>
        <v>1.206257055313659E-6</v>
      </c>
      <c r="H14" s="31">
        <f t="shared" si="4"/>
        <v>-1</v>
      </c>
      <c r="I14" s="265">
        <f t="shared" si="9"/>
        <v>-0.26666666666666572</v>
      </c>
      <c r="J14" s="31">
        <v>374</v>
      </c>
      <c r="K14" s="265">
        <f t="shared" si="5"/>
        <v>5.2727881079622446E-6</v>
      </c>
      <c r="L14" s="265">
        <f t="shared" si="6"/>
        <v>1.1397921555481058E-6</v>
      </c>
      <c r="M14" s="31">
        <v>374</v>
      </c>
      <c r="N14" s="265">
        <f t="shared" si="7"/>
        <v>5.125909809330457E-6</v>
      </c>
      <c r="O14" s="265">
        <f t="shared" si="8"/>
        <v>1.0801444043321298E-6</v>
      </c>
    </row>
    <row r="15" spans="1:15">
      <c r="A15" s="16" t="s">
        <v>13</v>
      </c>
      <c r="B15" s="27">
        <v>12843130</v>
      </c>
      <c r="C15" s="263">
        <f t="shared" si="0"/>
        <v>0.19791063989081686</v>
      </c>
      <c r="D15" s="263">
        <f t="shared" si="1"/>
        <v>4.5287668817659298E-2</v>
      </c>
      <c r="E15" s="27">
        <v>12034341</v>
      </c>
      <c r="F15" s="263">
        <f t="shared" si="2"/>
        <v>0.17633176864070799</v>
      </c>
      <c r="G15" s="263">
        <f t="shared" si="3"/>
        <v>3.881419448476052E-2</v>
      </c>
      <c r="H15" s="27">
        <f t="shared" si="4"/>
        <v>-808789</v>
      </c>
      <c r="I15" s="263">
        <f t="shared" si="9"/>
        <v>-6.2974446260374179</v>
      </c>
      <c r="J15" s="27">
        <v>9496125</v>
      </c>
      <c r="K15" s="263">
        <f t="shared" si="5"/>
        <v>0.13387982612760152</v>
      </c>
      <c r="L15" s="263">
        <f t="shared" si="6"/>
        <v>2.8940130436107644E-2</v>
      </c>
      <c r="M15" s="27">
        <v>9522344</v>
      </c>
      <c r="N15" s="263">
        <f t="shared" si="7"/>
        <v>0.13050983026047866</v>
      </c>
      <c r="O15" s="263">
        <f t="shared" si="8"/>
        <v>2.7501354512635377E-2</v>
      </c>
    </row>
    <row r="16" spans="1:15">
      <c r="A16" s="16" t="s">
        <v>8</v>
      </c>
      <c r="B16" s="27">
        <v>990916418</v>
      </c>
      <c r="C16" s="263">
        <f t="shared" si="0"/>
        <v>15.269868199161429</v>
      </c>
      <c r="D16" s="263">
        <f t="shared" si="1"/>
        <v>3.4941867414224759</v>
      </c>
      <c r="E16" s="27">
        <v>1138597649</v>
      </c>
      <c r="F16" s="263">
        <f t="shared" si="2"/>
        <v>16.683168377755127</v>
      </c>
      <c r="G16" s="263">
        <f t="shared" si="3"/>
        <v>3.6723033349459762</v>
      </c>
      <c r="H16" s="27">
        <f t="shared" si="4"/>
        <v>147681231</v>
      </c>
      <c r="I16" s="263">
        <f t="shared" si="9"/>
        <v>14.903500266760133</v>
      </c>
      <c r="J16" s="27">
        <v>1108807679</v>
      </c>
      <c r="K16" s="263">
        <f t="shared" si="5"/>
        <v>15.632374181412882</v>
      </c>
      <c r="L16" s="263">
        <f t="shared" si="6"/>
        <v>3.3791719105232683</v>
      </c>
      <c r="M16" s="27">
        <v>1107423110</v>
      </c>
      <c r="N16" s="263">
        <f t="shared" si="7"/>
        <v>15.177943803818827</v>
      </c>
      <c r="O16" s="263">
        <f t="shared" si="8"/>
        <v>3.198333891696751</v>
      </c>
    </row>
    <row r="17" spans="1:19">
      <c r="A17" s="16" t="s">
        <v>9</v>
      </c>
      <c r="B17" s="27">
        <v>188749559</v>
      </c>
      <c r="C17" s="263">
        <f t="shared" si="0"/>
        <v>2.908601407974496</v>
      </c>
      <c r="D17" s="263">
        <f t="shared" si="1"/>
        <v>0.66557198420254593</v>
      </c>
      <c r="E17" s="27">
        <v>158654597</v>
      </c>
      <c r="F17" s="263">
        <f t="shared" si="2"/>
        <v>2.3246678560952168</v>
      </c>
      <c r="G17" s="263">
        <f t="shared" si="3"/>
        <v>0.51170648927592322</v>
      </c>
      <c r="H17" s="27">
        <f t="shared" si="4"/>
        <v>-30094962</v>
      </c>
      <c r="I17" s="263">
        <f t="shared" si="9"/>
        <v>-15.944387981325036</v>
      </c>
      <c r="J17" s="27">
        <v>154295092</v>
      </c>
      <c r="K17" s="263">
        <f t="shared" si="5"/>
        <v>2.1753083588624076</v>
      </c>
      <c r="L17" s="263">
        <f t="shared" si="6"/>
        <v>0.47022549599244207</v>
      </c>
      <c r="M17" s="27">
        <v>139574043</v>
      </c>
      <c r="N17" s="263">
        <f t="shared" si="7"/>
        <v>1.9129517543893342</v>
      </c>
      <c r="O17" s="263">
        <f t="shared" si="8"/>
        <v>0.40310192924187727</v>
      </c>
    </row>
    <row r="18" spans="1:19">
      <c r="A18" s="16" t="s">
        <v>10</v>
      </c>
      <c r="B18" s="27">
        <v>756365085</v>
      </c>
      <c r="C18" s="263">
        <f t="shared" si="0"/>
        <v>11.655468562836479</v>
      </c>
      <c r="D18" s="263">
        <f t="shared" si="1"/>
        <v>2.6671077435734691</v>
      </c>
      <c r="E18" s="27">
        <v>799172292</v>
      </c>
      <c r="F18" s="263">
        <f t="shared" si="2"/>
        <v>11.709778183700156</v>
      </c>
      <c r="G18" s="263">
        <f t="shared" si="3"/>
        <v>2.5775594000967588</v>
      </c>
      <c r="H18" s="27">
        <f t="shared" si="4"/>
        <v>42807207</v>
      </c>
      <c r="I18" s="263">
        <f t="shared" si="9"/>
        <v>5.659595855088952</v>
      </c>
      <c r="J18" s="27">
        <v>758085370</v>
      </c>
      <c r="K18" s="263">
        <f t="shared" si="5"/>
        <v>10.687763432503097</v>
      </c>
      <c r="L18" s="263">
        <f t="shared" si="6"/>
        <v>2.3103202084539665</v>
      </c>
      <c r="M18" s="27">
        <v>704342146</v>
      </c>
      <c r="N18" s="263">
        <f t="shared" si="7"/>
        <v>9.6534607361130078</v>
      </c>
      <c r="O18" s="263">
        <f t="shared" si="8"/>
        <v>2.0342011436823104</v>
      </c>
    </row>
    <row r="19" spans="1:19">
      <c r="A19" s="16" t="s">
        <v>11</v>
      </c>
      <c r="B19" s="27">
        <v>676746058</v>
      </c>
      <c r="C19" s="263">
        <f t="shared" si="0"/>
        <v>10.428551714602893</v>
      </c>
      <c r="D19" s="263">
        <f t="shared" si="1"/>
        <v>2.3863537430797983</v>
      </c>
      <c r="E19" s="27">
        <v>718284891</v>
      </c>
      <c r="F19" s="263">
        <f t="shared" si="2"/>
        <v>10.524585036931242</v>
      </c>
      <c r="G19" s="263">
        <f t="shared" si="3"/>
        <v>2.3166743783260766</v>
      </c>
      <c r="H19" s="27">
        <f t="shared" si="4"/>
        <v>41538833</v>
      </c>
      <c r="I19" s="263">
        <f t="shared" si="9"/>
        <v>6.1380236366297396</v>
      </c>
      <c r="J19" s="27">
        <v>730296653</v>
      </c>
      <c r="K19" s="263">
        <f t="shared" si="5"/>
        <v>10.295987987227353</v>
      </c>
      <c r="L19" s="263">
        <f t="shared" si="6"/>
        <v>2.2256320757017036</v>
      </c>
      <c r="M19" s="27">
        <v>730320628</v>
      </c>
      <c r="N19" s="263">
        <f t="shared" si="7"/>
        <v>10.009512489362512</v>
      </c>
      <c r="O19" s="263">
        <f t="shared" si="8"/>
        <v>2.1092292505415164</v>
      </c>
    </row>
    <row r="20" spans="1:19">
      <c r="A20" s="250" t="s">
        <v>12</v>
      </c>
      <c r="B20" s="191">
        <f>185788893+556200</f>
        <v>186345093</v>
      </c>
      <c r="C20" s="192">
        <f t="shared" si="0"/>
        <v>2.8715489601167139</v>
      </c>
      <c r="D20" s="192">
        <f t="shared" si="1"/>
        <v>0.65709331429175932</v>
      </c>
      <c r="E20" s="191">
        <f>199005811+28800</f>
        <v>199034611</v>
      </c>
      <c r="F20" s="304">
        <f t="shared" si="2"/>
        <v>2.9163312705153785</v>
      </c>
      <c r="G20" s="304">
        <f t="shared" si="3"/>
        <v>0.64194359296887593</v>
      </c>
      <c r="H20" s="191">
        <f t="shared" si="4"/>
        <v>12689518</v>
      </c>
      <c r="I20" s="304">
        <f t="shared" si="9"/>
        <v>6.8096872290594774</v>
      </c>
      <c r="J20" s="191">
        <f>199872931+28800</f>
        <v>199901731</v>
      </c>
      <c r="K20" s="304">
        <f t="shared" si="5"/>
        <v>2.8182873528819989</v>
      </c>
      <c r="L20" s="304">
        <f t="shared" si="6"/>
        <v>0.60921503977082259</v>
      </c>
      <c r="M20" s="191">
        <f>198194988+28800</f>
        <v>198223788</v>
      </c>
      <c r="N20" s="192">
        <f t="shared" si="7"/>
        <v>2.7167841159140131</v>
      </c>
      <c r="O20" s="192">
        <f t="shared" si="8"/>
        <v>0.57248747436823111</v>
      </c>
    </row>
    <row r="21" spans="1:19">
      <c r="A21" s="172" t="s">
        <v>0</v>
      </c>
      <c r="B21" s="173">
        <f>B5+B7+B9+B11+B13+B15+B16+B17+B18+B19</f>
        <v>6489358029</v>
      </c>
      <c r="C21" s="175">
        <f>B21/$B$21*100</f>
        <v>100</v>
      </c>
      <c r="D21" s="175">
        <f t="shared" si="1"/>
        <v>22.882887369089179</v>
      </c>
      <c r="E21" s="173">
        <f>E5+E7+E9+E11+E13+E15+E16+E17+E18+E19</f>
        <v>6824828613</v>
      </c>
      <c r="F21" s="175">
        <f t="shared" si="2"/>
        <v>100</v>
      </c>
      <c r="G21" s="175">
        <f t="shared" si="3"/>
        <v>22.012025844218673</v>
      </c>
      <c r="H21" s="173">
        <f>H5+H7+H9+H11+H13+H15+H16+H17+H18+H19</f>
        <v>335470584</v>
      </c>
      <c r="I21" s="175">
        <f t="shared" si="9"/>
        <v>5.1695496303460402</v>
      </c>
      <c r="J21" s="173">
        <f>J5+J7+J9+J11+J13+J15+J16+J17+J18+J19</f>
        <v>7093021611</v>
      </c>
      <c r="K21" s="175">
        <f t="shared" si="5"/>
        <v>100</v>
      </c>
      <c r="L21" s="175">
        <f t="shared" si="6"/>
        <v>21.616498372596226</v>
      </c>
      <c r="M21" s="173">
        <f>M5+M7+M9+M11+M13+M15+M16+M17+M18+M19</f>
        <v>7296265715</v>
      </c>
      <c r="N21" s="175">
        <f t="shared" si="7"/>
        <v>100</v>
      </c>
      <c r="O21" s="175">
        <f t="shared" si="8"/>
        <v>21.072247552346568</v>
      </c>
    </row>
    <row r="22" spans="1:19">
      <c r="A22" s="353" t="s">
        <v>139</v>
      </c>
      <c r="B22" s="354"/>
      <c r="C22" s="354"/>
      <c r="D22" s="354"/>
      <c r="E22" s="354"/>
      <c r="F22" s="354"/>
      <c r="G22" s="354"/>
      <c r="H22" s="354"/>
      <c r="I22" s="354"/>
      <c r="J22" s="22"/>
      <c r="K22" s="23"/>
      <c r="M22" s="22"/>
    </row>
    <row r="23" spans="1:19">
      <c r="A23" s="358"/>
      <c r="B23" s="358"/>
      <c r="C23" s="358"/>
      <c r="D23" s="358"/>
      <c r="E23" s="358"/>
      <c r="F23" s="358"/>
      <c r="G23" s="358"/>
      <c r="H23" s="358"/>
      <c r="I23" s="358"/>
      <c r="J23" s="358"/>
      <c r="M23" s="22"/>
    </row>
    <row r="24" spans="1:19">
      <c r="A24" s="357" t="s">
        <v>127</v>
      </c>
      <c r="B24" s="357"/>
      <c r="C24" s="357"/>
      <c r="D24" s="357"/>
      <c r="E24" s="357"/>
      <c r="F24" s="357"/>
      <c r="G24" s="357"/>
      <c r="H24" s="357"/>
      <c r="I24" s="357"/>
      <c r="J24" s="22"/>
      <c r="M24" s="22"/>
    </row>
    <row r="25" spans="1:19">
      <c r="A25" s="4"/>
      <c r="B25" s="22"/>
      <c r="C25" s="23"/>
      <c r="D25" s="23"/>
      <c r="E25" s="22"/>
      <c r="F25" s="23"/>
      <c r="G25" s="23"/>
      <c r="H25" s="23"/>
      <c r="I25" s="26"/>
      <c r="J25" s="22"/>
      <c r="M25" s="22"/>
    </row>
    <row r="26" spans="1:19" ht="63.75">
      <c r="A26" s="200" t="s">
        <v>4</v>
      </c>
      <c r="B26" s="199" t="s">
        <v>140</v>
      </c>
      <c r="C26" s="199" t="s">
        <v>1</v>
      </c>
      <c r="D26" s="199" t="s">
        <v>2</v>
      </c>
      <c r="E26" s="199" t="s">
        <v>158</v>
      </c>
      <c r="F26" s="199" t="s">
        <v>1</v>
      </c>
      <c r="G26" s="199" t="s">
        <v>2</v>
      </c>
      <c r="H26" s="199" t="s">
        <v>141</v>
      </c>
      <c r="I26" s="199" t="s">
        <v>142</v>
      </c>
      <c r="J26" s="199" t="s">
        <v>143</v>
      </c>
      <c r="K26" s="199" t="s">
        <v>1</v>
      </c>
      <c r="L26" s="199" t="s">
        <v>2</v>
      </c>
      <c r="M26" s="199" t="s">
        <v>144</v>
      </c>
      <c r="N26" s="199" t="s">
        <v>1</v>
      </c>
      <c r="O26" s="199" t="s">
        <v>2</v>
      </c>
    </row>
    <row r="27" spans="1:19">
      <c r="A27" s="185" t="s">
        <v>11</v>
      </c>
      <c r="B27" s="110">
        <v>2651198936</v>
      </c>
      <c r="C27" s="174">
        <f>B27/B27*100</f>
        <v>100</v>
      </c>
      <c r="D27" s="19">
        <f>B27/B29/1000000*100</f>
        <v>9.3487038894178216</v>
      </c>
      <c r="E27" s="110">
        <v>2765726756</v>
      </c>
      <c r="F27" s="174">
        <f>E27/E27*100</f>
        <v>100</v>
      </c>
      <c r="G27" s="19">
        <f>E27/E29/1000000*100</f>
        <v>8.920260461215932</v>
      </c>
      <c r="H27" s="20">
        <f>E27-B27</f>
        <v>114527820</v>
      </c>
      <c r="I27" s="21">
        <f>E27/B27*100-100</f>
        <v>4.3198501042246846</v>
      </c>
      <c r="J27" s="110">
        <v>3007319773</v>
      </c>
      <c r="K27" s="174">
        <f>J27/J27*100</f>
        <v>100</v>
      </c>
      <c r="L27" s="184">
        <f>J27/$J$29/1000000*100</f>
        <v>9.1650253649468194</v>
      </c>
      <c r="M27" s="110">
        <v>3189054569</v>
      </c>
      <c r="N27" s="174">
        <f>M27/M27*100</f>
        <v>100</v>
      </c>
      <c r="O27" s="184">
        <f>M27/$M$29/1000000*100</f>
        <v>9.2102659032490966</v>
      </c>
      <c r="P27" s="349"/>
      <c r="Q27" s="349"/>
      <c r="R27" s="349"/>
      <c r="S27" s="349"/>
    </row>
    <row r="28" spans="1:19">
      <c r="A28" s="354"/>
      <c r="B28" s="354"/>
      <c r="C28" s="354"/>
      <c r="D28" s="354"/>
      <c r="E28" s="354"/>
      <c r="F28" s="354"/>
      <c r="G28" s="354"/>
      <c r="H28" s="23"/>
      <c r="I28" s="26"/>
      <c r="J28" s="22"/>
      <c r="M28" s="22"/>
    </row>
    <row r="29" spans="1:19">
      <c r="A29" s="220" t="s">
        <v>121</v>
      </c>
      <c r="B29" s="255">
        <v>28359</v>
      </c>
      <c r="C29" s="221"/>
      <c r="D29" s="221"/>
      <c r="E29" s="255">
        <v>31005</v>
      </c>
      <c r="F29" s="222"/>
      <c r="G29" s="222"/>
      <c r="H29" s="222"/>
      <c r="I29" s="222"/>
      <c r="J29" s="255">
        <v>32813</v>
      </c>
      <c r="K29" s="222"/>
      <c r="L29" s="222"/>
      <c r="M29" s="255">
        <v>34625</v>
      </c>
      <c r="N29" s="222"/>
      <c r="O29" s="222"/>
    </row>
  </sheetData>
  <mergeCells count="6">
    <mergeCell ref="A28:G28"/>
    <mergeCell ref="A2:I2"/>
    <mergeCell ref="A22:I22"/>
    <mergeCell ref="A24:I24"/>
    <mergeCell ref="A1:I1"/>
    <mergeCell ref="A23:J23"/>
  </mergeCells>
  <phoneticPr fontId="0" type="noConversion"/>
  <pageMargins left="0.39370078740157483" right="0.19685039370078741" top="0.6692913385826772" bottom="0.43307086614173229" header="0.39370078740157483" footer="0.19685039370078741"/>
  <pageSetup paperSize="9" scale="70" firstPageNumber="931" orientation="landscape" useFirstPageNumber="1" r:id="rId1"/>
  <headerFooter alignWithMargins="0">
    <oddHeader>&amp;C&amp;P</oddHeader>
    <oddFooter>&amp;LFMPask_L_090519_bud2019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Q39"/>
  <sheetViews>
    <sheetView view="pageLayout" zoomScale="85" zoomScaleNormal="70" zoomScalePageLayoutView="85" workbookViewId="0">
      <selection activeCell="H8" sqref="H8"/>
    </sheetView>
  </sheetViews>
  <sheetFormatPr defaultColWidth="8.85546875" defaultRowHeight="15.75"/>
  <cols>
    <col min="1" max="1" width="36.42578125" style="2" customWidth="1"/>
    <col min="2" max="2" width="17.28515625" style="1" customWidth="1"/>
    <col min="3" max="3" width="7.85546875" style="1" customWidth="1"/>
    <col min="4" max="4" width="7.28515625" style="1" customWidth="1"/>
    <col min="5" max="5" width="17.28515625" style="1" customWidth="1"/>
    <col min="6" max="6" width="8.5703125" style="1" customWidth="1"/>
    <col min="7" max="7" width="7.85546875" style="1" customWidth="1"/>
    <col min="8" max="8" width="17.5703125" style="1" customWidth="1"/>
    <col min="9" max="9" width="14.28515625" style="1" customWidth="1"/>
    <col min="10" max="10" width="16.7109375" style="1" customWidth="1"/>
    <col min="11" max="11" width="8.5703125" style="1" customWidth="1"/>
    <col min="12" max="12" width="8.28515625" style="1" customWidth="1"/>
    <col min="13" max="13" width="17.28515625" style="1" customWidth="1"/>
    <col min="14" max="14" width="8.5703125" style="1" customWidth="1"/>
    <col min="15" max="15" width="8.28515625" style="1" customWidth="1"/>
    <col min="16" max="16384" width="8.85546875" style="1"/>
  </cols>
  <sheetData>
    <row r="2" spans="1:17">
      <c r="A2" s="359" t="s">
        <v>128</v>
      </c>
      <c r="B2" s="359"/>
      <c r="C2" s="359"/>
      <c r="D2" s="359"/>
      <c r="E2" s="359"/>
      <c r="F2" s="359"/>
      <c r="G2" s="359"/>
      <c r="H2" s="359"/>
      <c r="I2" s="359"/>
      <c r="M2" s="302"/>
    </row>
    <row r="3" spans="1:17">
      <c r="A3" s="292"/>
      <c r="B3" s="292"/>
      <c r="C3" s="292"/>
      <c r="D3" s="292"/>
      <c r="E3" s="292"/>
      <c r="F3" s="292"/>
      <c r="G3" s="292"/>
      <c r="H3" s="292"/>
      <c r="I3" s="292"/>
    </row>
    <row r="4" spans="1:17" s="33" customFormat="1" ht="63.75">
      <c r="A4" s="201" t="s">
        <v>42</v>
      </c>
      <c r="B4" s="199" t="s">
        <v>140</v>
      </c>
      <c r="C4" s="199" t="s">
        <v>1</v>
      </c>
      <c r="D4" s="199" t="s">
        <v>2</v>
      </c>
      <c r="E4" s="199" t="s">
        <v>158</v>
      </c>
      <c r="F4" s="199" t="s">
        <v>1</v>
      </c>
      <c r="G4" s="199" t="s">
        <v>2</v>
      </c>
      <c r="H4" s="199" t="s">
        <v>141</v>
      </c>
      <c r="I4" s="199" t="s">
        <v>142</v>
      </c>
      <c r="J4" s="199" t="s">
        <v>143</v>
      </c>
      <c r="K4" s="199" t="s">
        <v>1</v>
      </c>
      <c r="L4" s="199" t="s">
        <v>2</v>
      </c>
      <c r="M4" s="199" t="s">
        <v>144</v>
      </c>
      <c r="N4" s="199" t="s">
        <v>1</v>
      </c>
      <c r="O4" s="199" t="s">
        <v>2</v>
      </c>
    </row>
    <row r="5" spans="1:17" s="33" customFormat="1">
      <c r="A5" s="48" t="s">
        <v>41</v>
      </c>
      <c r="B5" s="47">
        <f>[2]pb_spb_adm!B5</f>
        <v>5705927</v>
      </c>
      <c r="C5" s="46">
        <f t="shared" ref="C5:C36" si="0">B5/$B$36*100</f>
        <v>6.372355404220767E-2</v>
      </c>
      <c r="D5" s="45">
        <f t="shared" ref="D5:D36" si="1">B5/$B$38/1000000*100</f>
        <v>2.0120339222116434E-2</v>
      </c>
      <c r="E5" s="47">
        <f>[2]pb_spb_adm!E5</f>
        <v>4861735</v>
      </c>
      <c r="F5" s="46">
        <f>E5/$E$36*100</f>
        <v>5.1767434932384178E-2</v>
      </c>
      <c r="G5" s="45">
        <f t="shared" ref="G5:G36" si="2">E5/$E$38/1000000*100</f>
        <v>1.5680487018222868E-2</v>
      </c>
      <c r="H5" s="44">
        <f>E5-B5</f>
        <v>-844192</v>
      </c>
      <c r="I5" s="11">
        <f>E5/B5*100-100</f>
        <v>-14.79500175869758</v>
      </c>
      <c r="J5" s="47">
        <f>[2]pb_spb_adm!J5</f>
        <v>4861735</v>
      </c>
      <c r="K5" s="46">
        <f t="shared" ref="K5:K36" si="3">J5/$J$36*100</f>
        <v>4.9106389270651356E-2</v>
      </c>
      <c r="L5" s="45">
        <f t="shared" ref="L5:L36" si="4">J5/$J$38/1000000*100</f>
        <v>1.4816490415384145E-2</v>
      </c>
      <c r="M5" s="47">
        <f>[2]pb_spb_adm!M5</f>
        <v>4861735</v>
      </c>
      <c r="N5" s="46">
        <f t="shared" ref="N5:N36" si="5">M5/$M$36*100</f>
        <v>4.7260642304808295E-2</v>
      </c>
      <c r="O5" s="45">
        <f t="shared" ref="O5:O36" si="6">M5/$M$38/1000000*100</f>
        <v>1.40411119133574E-2</v>
      </c>
      <c r="Q5" s="305"/>
    </row>
    <row r="6" spans="1:17" s="33" customFormat="1">
      <c r="A6" s="39" t="s">
        <v>40</v>
      </c>
      <c r="B6" s="36">
        <f>[2]pb_spb_adm!B7-[2]pb_spb_adm!B9</f>
        <v>22103393</v>
      </c>
      <c r="C6" s="35">
        <f t="shared" si="0"/>
        <v>0.24684976838148387</v>
      </c>
      <c r="D6" s="34">
        <f t="shared" si="1"/>
        <v>7.7941369582848488E-2</v>
      </c>
      <c r="E6" s="36">
        <f>[2]pb_spb_adm!E7-[2]pb_spb_adm!E9</f>
        <v>23156483</v>
      </c>
      <c r="F6" s="35">
        <f t="shared" ref="F6:F36" si="7">E6/$E$36*100</f>
        <v>0.24656870992873131</v>
      </c>
      <c r="G6" s="34">
        <f t="shared" si="2"/>
        <v>7.4686286082889852E-2</v>
      </c>
      <c r="H6" s="193">
        <f t="shared" ref="H6:H35" si="8">E6-B6</f>
        <v>1053090</v>
      </c>
      <c r="I6" s="15">
        <f t="shared" ref="I6:I35" si="9">E6/B6*100-100</f>
        <v>4.7643816494598923</v>
      </c>
      <c r="J6" s="36">
        <f>[2]pb_spb_adm!J7-[2]pb_spb_adm!J9</f>
        <v>24828494</v>
      </c>
      <c r="K6" s="35">
        <f t="shared" si="3"/>
        <v>0.25078242466280692</v>
      </c>
      <c r="L6" s="34">
        <f t="shared" si="4"/>
        <v>7.5666638222655652E-2</v>
      </c>
      <c r="M6" s="36">
        <f>[2]pb_spb_adm!M7-[2]pb_spb_adm!M9</f>
        <v>23242018</v>
      </c>
      <c r="N6" s="35">
        <f t="shared" si="5"/>
        <v>0.22593430105505874</v>
      </c>
      <c r="O6" s="34">
        <f t="shared" si="6"/>
        <v>6.7124961732851984E-2</v>
      </c>
      <c r="Q6" s="305"/>
    </row>
    <row r="7" spans="1:17" s="33" customFormat="1">
      <c r="A7" s="39" t="s">
        <v>39</v>
      </c>
      <c r="B7" s="36">
        <f>[2]pb_spb_adm!B10-[2]pb_spb_adm!B13</f>
        <v>9077072</v>
      </c>
      <c r="C7" s="35">
        <f t="shared" si="0"/>
        <v>0.10137236037842934</v>
      </c>
      <c r="D7" s="34">
        <f t="shared" si="1"/>
        <v>3.2007729468599033E-2</v>
      </c>
      <c r="E7" s="36">
        <f>[2]pb_spb_adm!E10-[2]pb_spb_adm!E13</f>
        <v>10336096</v>
      </c>
      <c r="F7" s="35">
        <f t="shared" si="7"/>
        <v>0.11005807127185592</v>
      </c>
      <c r="G7" s="34">
        <f t="shared" si="2"/>
        <v>3.3336868247056922E-2</v>
      </c>
      <c r="H7" s="193">
        <f t="shared" si="8"/>
        <v>1259024</v>
      </c>
      <c r="I7" s="15">
        <f t="shared" si="9"/>
        <v>13.870375821630603</v>
      </c>
      <c r="J7" s="36">
        <f>[2]pb_spb_adm!J10-[2]pb_spb_adm!J13</f>
        <v>10897553</v>
      </c>
      <c r="K7" s="35">
        <f t="shared" si="3"/>
        <v>0.11007170890958773</v>
      </c>
      <c r="L7" s="34">
        <f t="shared" si="4"/>
        <v>3.3211084021576812E-2</v>
      </c>
      <c r="M7" s="36">
        <f>[2]pb_spb_adm!M10-[2]pb_spb_adm!M13</f>
        <v>7260439</v>
      </c>
      <c r="N7" s="35">
        <f t="shared" si="5"/>
        <v>7.0578303950108362E-2</v>
      </c>
      <c r="O7" s="34">
        <f t="shared" si="6"/>
        <v>2.0968776895306861E-2</v>
      </c>
      <c r="Q7" s="305"/>
    </row>
    <row r="8" spans="1:17" s="33" customFormat="1" ht="31.5">
      <c r="A8" s="39" t="s">
        <v>38</v>
      </c>
      <c r="B8" s="36">
        <f>[2]pb_spb_adm!B14</f>
        <v>5839466</v>
      </c>
      <c r="C8" s="35">
        <f t="shared" si="0"/>
        <v>6.5214912007923398E-2</v>
      </c>
      <c r="D8" s="34">
        <f t="shared" si="1"/>
        <v>2.0591226771042699E-2</v>
      </c>
      <c r="E8" s="36">
        <f>[2]pb_spb_adm!E14</f>
        <v>6204267</v>
      </c>
      <c r="F8" s="35">
        <f t="shared" si="7"/>
        <v>6.6062627482912653E-2</v>
      </c>
      <c r="G8" s="34">
        <f t="shared" si="2"/>
        <v>2.0010537010159653E-2</v>
      </c>
      <c r="H8" s="193">
        <f t="shared" si="8"/>
        <v>364801</v>
      </c>
      <c r="I8" s="15">
        <f t="shared" si="9"/>
        <v>6.2471636961325032</v>
      </c>
      <c r="J8" s="36">
        <f>[2]pb_spb_adm!J14</f>
        <v>6380325</v>
      </c>
      <c r="K8" s="35">
        <f t="shared" si="3"/>
        <v>6.444504341007247E-2</v>
      </c>
      <c r="L8" s="34">
        <f t="shared" si="4"/>
        <v>1.9444503702800719E-2</v>
      </c>
      <c r="M8" s="36">
        <f>[2]pb_spb_adm!M14</f>
        <v>6380325</v>
      </c>
      <c r="N8" s="35">
        <f t="shared" si="5"/>
        <v>6.2022767101338513E-2</v>
      </c>
      <c r="O8" s="34">
        <f t="shared" si="6"/>
        <v>1.8426931407942236E-2</v>
      </c>
      <c r="Q8" s="305"/>
    </row>
    <row r="9" spans="1:17" s="33" customFormat="1">
      <c r="A9" s="39" t="s">
        <v>37</v>
      </c>
      <c r="B9" s="40">
        <f>[2]pb_spb_adm!B16</f>
        <v>1493307</v>
      </c>
      <c r="C9" s="35">
        <f t="shared" si="0"/>
        <v>1.6677190107077609E-2</v>
      </c>
      <c r="D9" s="34">
        <f t="shared" si="1"/>
        <v>5.2657251666137729E-3</v>
      </c>
      <c r="E9" s="40">
        <f>[2]pb_spb_adm!E16</f>
        <v>1541027</v>
      </c>
      <c r="F9" s="35">
        <f t="shared" si="7"/>
        <v>1.6408754272198546E-2</v>
      </c>
      <c r="G9" s="34">
        <f t="shared" si="2"/>
        <v>4.9702531849701659E-3</v>
      </c>
      <c r="H9" s="193">
        <f t="shared" si="8"/>
        <v>47720</v>
      </c>
      <c r="I9" s="15">
        <f t="shared" si="9"/>
        <v>3.1955920651279399</v>
      </c>
      <c r="J9" s="40">
        <f>[2]pb_spb_adm!J16</f>
        <v>1498479</v>
      </c>
      <c r="K9" s="35">
        <f t="shared" si="3"/>
        <v>1.5135521184905465E-2</v>
      </c>
      <c r="L9" s="34">
        <f t="shared" si="4"/>
        <v>4.5667235546886908E-3</v>
      </c>
      <c r="M9" s="40">
        <f>[2]pb_spb_adm!M16</f>
        <v>1492048</v>
      </c>
      <c r="N9" s="35">
        <f t="shared" si="5"/>
        <v>1.4504111562971782E-2</v>
      </c>
      <c r="O9" s="34">
        <f t="shared" si="6"/>
        <v>4.3091638989169673E-3</v>
      </c>
      <c r="Q9" s="305"/>
    </row>
    <row r="10" spans="1:17" s="32" customFormat="1">
      <c r="A10" s="39" t="s">
        <v>56</v>
      </c>
      <c r="B10" s="43">
        <f>[2]pb_spb_adm!B19-[2]pb_spb_adm!B22</f>
        <v>9310911</v>
      </c>
      <c r="C10" s="35">
        <f t="shared" si="0"/>
        <v>0.10398386454833473</v>
      </c>
      <c r="D10" s="34">
        <f t="shared" si="1"/>
        <v>3.2832296625409922E-2</v>
      </c>
      <c r="E10" s="43">
        <f>[2]pb_spb_adm!E19-[2]pb_spb_adm!E22</f>
        <v>10672081</v>
      </c>
      <c r="F10" s="35">
        <f t="shared" si="7"/>
        <v>0.11363561748236659</v>
      </c>
      <c r="G10" s="34">
        <f t="shared" si="2"/>
        <v>3.4420516045799064E-2</v>
      </c>
      <c r="H10" s="193">
        <f t="shared" si="8"/>
        <v>1361170</v>
      </c>
      <c r="I10" s="15">
        <f t="shared" si="9"/>
        <v>14.619085071267463</v>
      </c>
      <c r="J10" s="43">
        <f>[2]pb_spb_adm!J19-[2]pb_spb_adm!J22</f>
        <v>9650372</v>
      </c>
      <c r="K10" s="35">
        <f t="shared" si="3"/>
        <v>9.7474445653371544E-2</v>
      </c>
      <c r="L10" s="34">
        <f t="shared" si="4"/>
        <v>2.9410209368238197E-2</v>
      </c>
      <c r="M10" s="43">
        <f>[2]pb_spb_adm!M19-[2]pb_spb_adm!M22</f>
        <v>9317854</v>
      </c>
      <c r="N10" s="35">
        <f t="shared" si="5"/>
        <v>9.0578315136968027E-2</v>
      </c>
      <c r="O10" s="34">
        <f t="shared" si="6"/>
        <v>2.6910769675090252E-2</v>
      </c>
      <c r="Q10" s="305"/>
    </row>
    <row r="11" spans="1:17" s="49" customFormat="1" ht="31.5">
      <c r="A11" s="41" t="s">
        <v>69</v>
      </c>
      <c r="B11" s="40">
        <f>[2]pb_spb_adm!B23</f>
        <v>5402910</v>
      </c>
      <c r="C11" s="108">
        <f t="shared" si="0"/>
        <v>6.0339472862198255E-2</v>
      </c>
      <c r="D11" s="109">
        <f t="shared" si="1"/>
        <v>1.9051835396170527E-2</v>
      </c>
      <c r="E11" s="40">
        <f>[2]pb_spb_adm!E23</f>
        <v>5522165</v>
      </c>
      <c r="F11" s="108">
        <f t="shared" si="7"/>
        <v>5.8799650191421228E-2</v>
      </c>
      <c r="G11" s="109">
        <f t="shared" si="2"/>
        <v>1.7810562812449603E-2</v>
      </c>
      <c r="H11" s="193">
        <f t="shared" si="8"/>
        <v>119255</v>
      </c>
      <c r="I11" s="15">
        <f t="shared" si="9"/>
        <v>2.207236470716694</v>
      </c>
      <c r="J11" s="40">
        <f>[2]pb_spb_adm!J23</f>
        <v>5460630</v>
      </c>
      <c r="K11" s="108">
        <f t="shared" si="3"/>
        <v>5.5155581791890534E-2</v>
      </c>
      <c r="L11" s="109">
        <f t="shared" si="4"/>
        <v>1.6641666412702281E-2</v>
      </c>
      <c r="M11" s="40">
        <f>[2]pb_spb_adm!M23</f>
        <v>5460630</v>
      </c>
      <c r="N11" s="108">
        <f t="shared" si="5"/>
        <v>5.3082465660696299E-2</v>
      </c>
      <c r="O11" s="109">
        <f t="shared" si="6"/>
        <v>1.5770772563176896E-2</v>
      </c>
      <c r="Q11" s="305"/>
    </row>
    <row r="12" spans="1:17" s="33" customFormat="1">
      <c r="A12" s="41" t="s">
        <v>36</v>
      </c>
      <c r="B12" s="40">
        <f>[2]pb_spb_adm!B25-[2]pb_spb_adm!B27-[2]pb_spb_adm!B28-[2]pb_spb_adm!B30</f>
        <v>575707692</v>
      </c>
      <c r="C12" s="108">
        <f t="shared" si="0"/>
        <v>6.4294794209033261</v>
      </c>
      <c r="D12" s="109">
        <f t="shared" si="1"/>
        <v>2.0300704961387921</v>
      </c>
      <c r="E12" s="40">
        <f>[2]pb_spb_adm!E25-[2]pb_spb_adm!E27-[2]pb_spb_adm!E28-[2]pb_spb_adm!E30</f>
        <v>630749901</v>
      </c>
      <c r="F12" s="108">
        <f t="shared" si="7"/>
        <v>6.7161835144501429</v>
      </c>
      <c r="G12" s="109">
        <f t="shared" si="2"/>
        <v>2.0343489791969036</v>
      </c>
      <c r="H12" s="193">
        <f t="shared" si="8"/>
        <v>55042209</v>
      </c>
      <c r="I12" s="15">
        <f t="shared" si="9"/>
        <v>9.5607909647314528</v>
      </c>
      <c r="J12" s="40">
        <f>[2]pb_spb_adm!J25-[2]pb_spb_adm!J27-[2]pb_spb_adm!J28-[2]pb_spb_adm!J30</f>
        <v>652843813</v>
      </c>
      <c r="K12" s="108">
        <f t="shared" si="3"/>
        <v>6.5941073328995348</v>
      </c>
      <c r="L12" s="109">
        <f t="shared" si="4"/>
        <v>1.9895889220735683</v>
      </c>
      <c r="M12" s="40">
        <f>[2]pb_spb_adm!M25-[2]pb_spb_adm!M27-[2]pb_spb_adm!M28-[2]pb_spb_adm!M30</f>
        <v>688403813</v>
      </c>
      <c r="N12" s="108">
        <f t="shared" si="5"/>
        <v>6.6919333051799699</v>
      </c>
      <c r="O12" s="109">
        <f t="shared" si="6"/>
        <v>1.9881698570397111</v>
      </c>
      <c r="Q12" s="305"/>
    </row>
    <row r="13" spans="1:17" s="33" customFormat="1">
      <c r="A13" s="41" t="s">
        <v>35</v>
      </c>
      <c r="B13" s="40">
        <f>[2]pb_spb_adm!B31-[2]pb_spb_adm!B33-[2]pb_spb_adm!B34-[2]pb_spb_adm!B36</f>
        <v>66244872</v>
      </c>
      <c r="C13" s="108">
        <f t="shared" si="0"/>
        <v>0.73981995930041344</v>
      </c>
      <c r="D13" s="109">
        <f t="shared" si="1"/>
        <v>0.23359382206706863</v>
      </c>
      <c r="E13" s="40">
        <f>[2]pb_spb_adm!E31-[2]pb_spb_adm!E33-[2]pb_spb_adm!E34-[2]pb_spb_adm!E36</f>
        <v>64821274</v>
      </c>
      <c r="F13" s="108">
        <f t="shared" si="7"/>
        <v>0.69021266770592116</v>
      </c>
      <c r="G13" s="109">
        <f t="shared" si="2"/>
        <v>0.20906716336074829</v>
      </c>
      <c r="H13" s="193">
        <f t="shared" si="8"/>
        <v>-1423598</v>
      </c>
      <c r="I13" s="15">
        <f t="shared" si="9"/>
        <v>-2.1489935100183999</v>
      </c>
      <c r="J13" s="40">
        <f>[2]pb_spb_adm!J31-[2]pb_spb_adm!J33-[2]pb_spb_adm!J34-[2]pb_spb_adm!J36</f>
        <v>63299174</v>
      </c>
      <c r="K13" s="108">
        <f t="shared" si="3"/>
        <v>0.63935896937095371</v>
      </c>
      <c r="L13" s="109">
        <f t="shared" si="4"/>
        <v>0.19290882881784657</v>
      </c>
      <c r="M13" s="40">
        <f>[2]pb_spb_adm!M31-[2]pb_spb_adm!M33-[2]pb_spb_adm!M34-[2]pb_spb_adm!M36</f>
        <v>63006528</v>
      </c>
      <c r="N13" s="108">
        <f t="shared" si="5"/>
        <v>0.61248278293158476</v>
      </c>
      <c r="O13" s="109">
        <f t="shared" si="6"/>
        <v>0.18196831191335741</v>
      </c>
      <c r="Q13" s="305"/>
    </row>
    <row r="14" spans="1:17" s="33" customFormat="1">
      <c r="A14" s="107" t="s">
        <v>34</v>
      </c>
      <c r="B14" s="40">
        <f>[2]pb_spb_adm!B37-[2]pb_spb_adm!B39-[2]pb_spb_adm!B40-[2]pb_spb_adm!B42-[2]pb_spb_adm!B43</f>
        <v>183473667</v>
      </c>
      <c r="C14" s="108">
        <f t="shared" si="0"/>
        <v>2.049026237874497</v>
      </c>
      <c r="D14" s="109">
        <f t="shared" si="1"/>
        <v>0.64696804189146306</v>
      </c>
      <c r="E14" s="40">
        <f>[2]pb_spb_adm!E37-[2]pb_spb_adm!E39-[2]pb_spb_adm!E40-[2]pb_spb_adm!E42-[2]pb_spb_adm!E43</f>
        <v>106273183</v>
      </c>
      <c r="F14" s="108">
        <f t="shared" si="7"/>
        <v>1.1315898719304645</v>
      </c>
      <c r="G14" s="109">
        <f t="shared" si="2"/>
        <v>0.34276143525237868</v>
      </c>
      <c r="H14" s="193">
        <f t="shared" si="8"/>
        <v>-77200484</v>
      </c>
      <c r="I14" s="15">
        <f t="shared" si="9"/>
        <v>-42.077146689393849</v>
      </c>
      <c r="J14" s="40">
        <f>[2]pb_spb_adm!J37-[2]pb_spb_adm!J39-[2]pb_spb_adm!J40-[2]pb_spb_adm!J42-[2]pb_spb_adm!J43</f>
        <v>99961069</v>
      </c>
      <c r="K14" s="108">
        <f t="shared" si="3"/>
        <v>1.0096657193829857</v>
      </c>
      <c r="L14" s="109">
        <f t="shared" si="4"/>
        <v>0.30463861579252122</v>
      </c>
      <c r="M14" s="40">
        <f>[2]pb_spb_adm!M37-[2]pb_spb_adm!M39-[2]pb_spb_adm!M40-[2]pb_spb_adm!M42-[2]pb_spb_adm!M43</f>
        <v>75547625</v>
      </c>
      <c r="N14" s="108">
        <f t="shared" si="5"/>
        <v>0.73439405522982903</v>
      </c>
      <c r="O14" s="109">
        <f t="shared" si="6"/>
        <v>0.21818808664259928</v>
      </c>
      <c r="Q14" s="305"/>
    </row>
    <row r="15" spans="1:17" s="33" customFormat="1">
      <c r="A15" s="41" t="s">
        <v>33</v>
      </c>
      <c r="B15" s="40">
        <f>[2]pb_spb_adm!B44-[2]pb_spb_adm!B46-[2]pb_spb_adm!B50-[2]pb_spb_adm!B51</f>
        <v>891492411</v>
      </c>
      <c r="C15" s="108">
        <f t="shared" si="0"/>
        <v>9.9561499525978014</v>
      </c>
      <c r="D15" s="109">
        <f t="shared" si="1"/>
        <v>3.1435960753200041</v>
      </c>
      <c r="E15" s="40">
        <f>[2]pb_spb_adm!E44-[2]pb_spb_adm!E46-[2]pb_spb_adm!E50-[2]pb_spb_adm!E51</f>
        <v>995926592</v>
      </c>
      <c r="F15" s="108">
        <f t="shared" si="7"/>
        <v>10.604560933245256</v>
      </c>
      <c r="G15" s="109">
        <f t="shared" si="2"/>
        <v>3.2121483373649409</v>
      </c>
      <c r="H15" s="193">
        <f t="shared" si="8"/>
        <v>104434181</v>
      </c>
      <c r="I15" s="15">
        <f t="shared" si="9"/>
        <v>11.7145339333685</v>
      </c>
      <c r="J15" s="40">
        <f>[2]pb_spb_adm!J44-[2]pb_spb_adm!J46-[2]pb_spb_adm!J50-[2]pb_spb_adm!J51</f>
        <v>972916173</v>
      </c>
      <c r="K15" s="108">
        <f t="shared" si="3"/>
        <v>9.8270268369317506</v>
      </c>
      <c r="L15" s="109">
        <f t="shared" si="4"/>
        <v>2.9650326791210802</v>
      </c>
      <c r="M15" s="40">
        <f>[2]pb_spb_adm!M44-[2]pb_spb_adm!M46-[2]pb_spb_adm!M50-[2]pb_spb_adm!M51</f>
        <v>906249413</v>
      </c>
      <c r="N15" s="108">
        <f t="shared" si="5"/>
        <v>8.809597673821278</v>
      </c>
      <c r="O15" s="109">
        <f t="shared" si="6"/>
        <v>2.6173268245487367</v>
      </c>
      <c r="Q15" s="305"/>
    </row>
    <row r="16" spans="1:17" s="33" customFormat="1">
      <c r="A16" s="41" t="s">
        <v>32</v>
      </c>
      <c r="B16" s="40">
        <f>[2]pb_spb_adm!B52-[2]pb_spb_adm!B54-[2]pb_spb_adm!B55-[2]pb_spb_adm!B57-[2]pb_spb_adm!B58</f>
        <v>387081212</v>
      </c>
      <c r="C16" s="108">
        <f t="shared" si="0"/>
        <v>4.3229067830004224</v>
      </c>
      <c r="D16" s="109">
        <f t="shared" si="1"/>
        <v>1.3649325152508904</v>
      </c>
      <c r="E16" s="40">
        <v>427874387</v>
      </c>
      <c r="F16" s="108">
        <f t="shared" si="7"/>
        <v>4.5559783674462446</v>
      </c>
      <c r="G16" s="109">
        <f t="shared" si="2"/>
        <v>1.3800173746169972</v>
      </c>
      <c r="H16" s="193">
        <f t="shared" si="8"/>
        <v>40793175</v>
      </c>
      <c r="I16" s="15">
        <f t="shared" si="9"/>
        <v>10.538660553744464</v>
      </c>
      <c r="J16" s="40">
        <f>[2]pb_spb_adm!J52-[2]pb_spb_adm!J54-[2]pb_spb_adm!J57-[2]pb_spb_adm!J58</f>
        <v>374030073</v>
      </c>
      <c r="K16" s="108">
        <f t="shared" si="3"/>
        <v>3.7779242109387172</v>
      </c>
      <c r="L16" s="109">
        <f t="shared" si="4"/>
        <v>1.1398838051991589</v>
      </c>
      <c r="M16" s="40">
        <f>[2]pb_spb_adm!M52-[2]pb_spb_adm!M54-[2]pb_spb_adm!M57-[2]pb_spb_adm!M58</f>
        <v>359728668</v>
      </c>
      <c r="N16" s="108">
        <f t="shared" si="5"/>
        <v>3.4969013953111672</v>
      </c>
      <c r="O16" s="109">
        <f t="shared" si="6"/>
        <v>1.0389275610108304</v>
      </c>
      <c r="Q16" s="305"/>
    </row>
    <row r="17" spans="1:17" s="33" customFormat="1">
      <c r="A17" s="41" t="s">
        <v>31</v>
      </c>
      <c r="B17" s="40">
        <f>[2]pb_spb_adm!B59-[2]pb_spb_adm!B61-[2]pb_spb_adm!B63-[2]pb_spb_adm!B64</f>
        <v>395450787</v>
      </c>
      <c r="C17" s="108">
        <f t="shared" si="0"/>
        <v>4.4163778464792944</v>
      </c>
      <c r="D17" s="109">
        <f t="shared" si="1"/>
        <v>1.3944454564688458</v>
      </c>
      <c r="E17" s="40">
        <f>[2]pb_spb_adm!E59-[2]pb_spb_adm!E61-[2]pb_spb_adm!E63-[2]pb_spb_adm!E64</f>
        <v>406135556</v>
      </c>
      <c r="F17" s="108">
        <f t="shared" si="7"/>
        <v>4.3245047228937139</v>
      </c>
      <c r="G17" s="109">
        <f t="shared" si="2"/>
        <v>1.3099034220287051</v>
      </c>
      <c r="H17" s="193">
        <f t="shared" si="8"/>
        <v>10684769</v>
      </c>
      <c r="I17" s="15">
        <f t="shared" si="9"/>
        <v>2.7019212886280002</v>
      </c>
      <c r="J17" s="40">
        <f>[2]pb_spb_adm!J59-[2]pb_spb_adm!J61-[2]pb_spb_adm!J63-[2]pb_spb_adm!J64</f>
        <v>361125556</v>
      </c>
      <c r="K17" s="108">
        <f t="shared" si="3"/>
        <v>3.647580982615549</v>
      </c>
      <c r="L17" s="109">
        <f t="shared" si="4"/>
        <v>1.1005563526651021</v>
      </c>
      <c r="M17" s="40">
        <f>[2]pb_spb_adm!M59-[2]pb_spb_adm!M61-[2]pb_spb_adm!M63-[2]pb_spb_adm!M64</f>
        <v>299054343</v>
      </c>
      <c r="N17" s="108">
        <f t="shared" si="5"/>
        <v>2.9070898216835039</v>
      </c>
      <c r="O17" s="109">
        <f t="shared" si="6"/>
        <v>0.86369485342960295</v>
      </c>
      <c r="Q17" s="305"/>
    </row>
    <row r="18" spans="1:17" s="33" customFormat="1">
      <c r="A18" s="41" t="s">
        <v>30</v>
      </c>
      <c r="B18" s="40">
        <f>[2]pb_spb_adm!B65-[2]pb_spb_adm!B67-[2]pb_spb_adm!B69-[2]pb_spb_adm!B70</f>
        <v>647350953</v>
      </c>
      <c r="C18" s="108">
        <f t="shared" si="0"/>
        <v>7.2295883627270632</v>
      </c>
      <c r="D18" s="109">
        <f t="shared" si="1"/>
        <v>2.2827002115730455</v>
      </c>
      <c r="E18" s="40">
        <f>[2]pb_spb_adm!E65-[2]pb_spb_adm!E67-[2]pb_spb_adm!E69-[2]pb_spb_adm!E70</f>
        <v>650373572</v>
      </c>
      <c r="F18" s="108">
        <f t="shared" si="7"/>
        <v>6.9251350742589386</v>
      </c>
      <c r="G18" s="109">
        <f t="shared" si="2"/>
        <v>2.0976409353330108</v>
      </c>
      <c r="H18" s="193">
        <f t="shared" si="8"/>
        <v>3022619</v>
      </c>
      <c r="I18" s="15">
        <f t="shared" si="9"/>
        <v>0.46692122503139899</v>
      </c>
      <c r="J18" s="40">
        <f>[2]pb_spb_adm!J65-[2]pb_spb_adm!J67-[2]pb_spb_adm!J69-[2]pb_spb_adm!J70</f>
        <v>626645150</v>
      </c>
      <c r="K18" s="108">
        <f t="shared" si="3"/>
        <v>6.3294853936847053</v>
      </c>
      <c r="L18" s="109">
        <f t="shared" si="4"/>
        <v>1.90974659433761</v>
      </c>
      <c r="M18" s="40">
        <f>[2]pb_spb_adm!M65-[2]pb_spb_adm!M67-[2]pb_spb_adm!M69-[2]pb_spb_adm!M70</f>
        <v>265385408</v>
      </c>
      <c r="N18" s="108">
        <f t="shared" si="5"/>
        <v>2.5797960687704307</v>
      </c>
      <c r="O18" s="109">
        <f t="shared" si="6"/>
        <v>0.76645605198555955</v>
      </c>
      <c r="Q18" s="305"/>
    </row>
    <row r="19" spans="1:17" s="33" customFormat="1">
      <c r="A19" s="41" t="s">
        <v>29</v>
      </c>
      <c r="B19" s="40">
        <f>[2]pb_spb_adm!B71-[2]pb_spb_adm!B73-[2]pb_spb_adm!B74-[2]pb_spb_adm!B76</f>
        <v>428774463</v>
      </c>
      <c r="C19" s="108">
        <f t="shared" si="0"/>
        <v>4.7885352660311078</v>
      </c>
      <c r="D19" s="109">
        <f t="shared" si="1"/>
        <v>1.5119519834973023</v>
      </c>
      <c r="E19" s="40">
        <v>448877192</v>
      </c>
      <c r="F19" s="108">
        <f t="shared" si="7"/>
        <v>4.7796148554973312</v>
      </c>
      <c r="G19" s="109">
        <f t="shared" si="2"/>
        <v>1.4477574326721496</v>
      </c>
      <c r="H19" s="193">
        <f t="shared" si="8"/>
        <v>20102729</v>
      </c>
      <c r="I19" s="15">
        <f t="shared" si="9"/>
        <v>4.6884156438206475</v>
      </c>
      <c r="J19" s="40">
        <f>[2]pb_spb_adm!J71-[2]pb_spb_adm!J73-[2]pb_spb_adm!J74-[2]pb_spb_adm!J76</f>
        <v>434023551</v>
      </c>
      <c r="K19" s="108">
        <f t="shared" si="3"/>
        <v>4.383893702152915</v>
      </c>
      <c r="L19" s="109">
        <f t="shared" si="4"/>
        <v>1.3227182854356505</v>
      </c>
      <c r="M19" s="40">
        <f>[2]pb_spb_adm!M71-[2]pb_spb_adm!M73-[2]pb_spb_adm!M74-[2]pb_spb_adm!M76</f>
        <v>437404072</v>
      </c>
      <c r="N19" s="108">
        <f t="shared" si="5"/>
        <v>4.2519794660668699</v>
      </c>
      <c r="O19" s="109">
        <f t="shared" si="6"/>
        <v>1.2632608577617328</v>
      </c>
      <c r="Q19" s="305"/>
    </row>
    <row r="20" spans="1:17" s="33" customFormat="1">
      <c r="A20" s="41" t="s">
        <v>28</v>
      </c>
      <c r="B20" s="40">
        <f>[2]pb_spb_adm!B77-[2]pb_spb_adm!B79-[2]pb_spb_adm!B80-[2]pb_spb_adm!B82-[2]pb_spb_adm!B83+[2]pb_spb_adm!B152</f>
        <v>3132544574</v>
      </c>
      <c r="C20" s="108">
        <f t="shared" si="0"/>
        <v>34.984126759931108</v>
      </c>
      <c r="D20" s="109">
        <f t="shared" si="1"/>
        <v>11.046033266335202</v>
      </c>
      <c r="E20" s="40">
        <f>[2]pb_spb_adm!E77-[2]pb_spb_adm!E79-[2]pb_spb_adm!E80-[2]pb_spb_adm!E82-[2]pb_spb_adm!E83+[2]pb_spb_adm!E152</f>
        <v>3260447037</v>
      </c>
      <c r="F20" s="108">
        <f t="shared" si="7"/>
        <v>34.71702588445941</v>
      </c>
      <c r="G20" s="109">
        <f t="shared" si="2"/>
        <v>10.515874978229316</v>
      </c>
      <c r="H20" s="193">
        <f t="shared" si="8"/>
        <v>127902463</v>
      </c>
      <c r="I20" s="15">
        <f t="shared" si="9"/>
        <v>4.0830213259081916</v>
      </c>
      <c r="J20" s="40">
        <f>[2]pb_spb_adm!J77-[2]pb_spb_adm!J79-[2]pb_spb_adm!J82-[2]pb_spb_adm!J83+[2]pb_spb_adm!J152</f>
        <v>3506242213</v>
      </c>
      <c r="K20" s="108">
        <f t="shared" si="3"/>
        <v>35.415113120885458</v>
      </c>
      <c r="L20" s="109">
        <f t="shared" si="4"/>
        <v>10.685527726815591</v>
      </c>
      <c r="M20" s="40">
        <f>[2]pb_spb_adm!M77-[2]pb_spb_adm!M79-[2]pb_spb_adm!M82-[2]pb_spb_adm!M83+[2]pb_spb_adm!M152</f>
        <v>3682102125</v>
      </c>
      <c r="N20" s="108">
        <f t="shared" si="5"/>
        <v>35.793499945883426</v>
      </c>
      <c r="O20" s="109">
        <f t="shared" si="6"/>
        <v>10.634229963898918</v>
      </c>
      <c r="Q20" s="305"/>
    </row>
    <row r="21" spans="1:17" s="33" customFormat="1">
      <c r="A21" s="107" t="s">
        <v>27</v>
      </c>
      <c r="B21" s="40">
        <f>[2]pb_spb_adm!B84-[2]pb_spb_adm!B86-[2]pb_spb_adm!B88</f>
        <v>230538332</v>
      </c>
      <c r="C21" s="108">
        <f t="shared" si="0"/>
        <v>2.5746424477569403</v>
      </c>
      <c r="D21" s="109">
        <f t="shared" si="1"/>
        <v>0.81292828378997839</v>
      </c>
      <c r="E21" s="40">
        <f>[2]pb_spb_adm!E84-[2]pb_spb_adm!E86-[2]pb_spb_adm!E88</f>
        <v>254075864</v>
      </c>
      <c r="F21" s="108">
        <f t="shared" si="7"/>
        <v>2.705383110660966</v>
      </c>
      <c r="G21" s="109">
        <f t="shared" si="2"/>
        <v>0.81946738913078532</v>
      </c>
      <c r="H21" s="193">
        <f t="shared" si="8"/>
        <v>23537532</v>
      </c>
      <c r="I21" s="15">
        <f t="shared" si="9"/>
        <v>10.209812743852069</v>
      </c>
      <c r="J21" s="40">
        <f>[2]pb_spb_adm!J84-[2]pb_spb_adm!J88</f>
        <v>257357555</v>
      </c>
      <c r="K21" s="108">
        <f t="shared" si="3"/>
        <v>2.5994630060200867</v>
      </c>
      <c r="L21" s="109">
        <f t="shared" si="4"/>
        <v>0.78431583518727332</v>
      </c>
      <c r="M21" s="40">
        <f>[2]pb_spb_adm!M84-[2]pb_spb_adm!M88</f>
        <v>274379073</v>
      </c>
      <c r="N21" s="108">
        <f t="shared" si="5"/>
        <v>2.6672229615513565</v>
      </c>
      <c r="O21" s="109">
        <f t="shared" si="6"/>
        <v>0.79243053574007216</v>
      </c>
      <c r="Q21" s="305"/>
    </row>
    <row r="22" spans="1:17" s="33" customFormat="1" ht="31.5">
      <c r="A22" s="37" t="s">
        <v>26</v>
      </c>
      <c r="B22" s="40">
        <f>[2]pb_spb_adm!B89-[2]pb_spb_adm!B91-[2]pb_spb_adm!B92-[2]pb_spb_adm!B94-[2]pb_spb_adm!B95</f>
        <v>96873373</v>
      </c>
      <c r="C22" s="108">
        <f t="shared" si="0"/>
        <v>1.0818777771984189</v>
      </c>
      <c r="D22" s="109">
        <f t="shared" si="1"/>
        <v>0.3415965760428788</v>
      </c>
      <c r="E22" s="40">
        <v>119191894</v>
      </c>
      <c r="F22" s="108">
        <f t="shared" si="7"/>
        <v>1.2691474580808357</v>
      </c>
      <c r="G22" s="109">
        <f t="shared" si="2"/>
        <v>0.38442797613288182</v>
      </c>
      <c r="H22" s="193">
        <f t="shared" si="8"/>
        <v>22318521</v>
      </c>
      <c r="I22" s="15">
        <f t="shared" si="9"/>
        <v>23.038860224264113</v>
      </c>
      <c r="J22" s="40">
        <f>[2]pb_spb_adm!J89-[2]pb_spb_adm!J91-[2]pb_spb_adm!J92-[2]pb_spb_adm!J94-[2]pb_spb_adm!J95</f>
        <v>76489590</v>
      </c>
      <c r="K22" s="108">
        <f t="shared" si="3"/>
        <v>0.77258994611851972</v>
      </c>
      <c r="L22" s="109">
        <f t="shared" si="4"/>
        <v>0.23310757931307713</v>
      </c>
      <c r="M22" s="40">
        <f>[2]pb_spb_adm!M89-[2]pb_spb_adm!M91-[2]pb_spb_adm!M92-[2]pb_spb_adm!M94-[2]pb_spb_adm!M95</f>
        <v>68484026</v>
      </c>
      <c r="N22" s="108">
        <f t="shared" si="5"/>
        <v>0.66572922143621382</v>
      </c>
      <c r="O22" s="109">
        <f t="shared" si="6"/>
        <v>0.19778780072202168</v>
      </c>
      <c r="Q22" s="305"/>
    </row>
    <row r="23" spans="1:17" s="33" customFormat="1">
      <c r="A23" s="107" t="s">
        <v>25</v>
      </c>
      <c r="B23" s="40">
        <f>[2]pb_spb_adm!B96-[2]pb_spb_adm!B98-[2]pb_spb_adm!B100-[2]pb_spb_adm!B101</f>
        <v>177537353</v>
      </c>
      <c r="C23" s="108">
        <f t="shared" si="0"/>
        <v>1.982729731453978</v>
      </c>
      <c r="D23" s="109">
        <f t="shared" si="1"/>
        <v>0.62603530801509222</v>
      </c>
      <c r="E23" s="40">
        <v>162733608</v>
      </c>
      <c r="F23" s="108">
        <f t="shared" si="7"/>
        <v>1.732776768674581</v>
      </c>
      <c r="G23" s="109">
        <f t="shared" si="2"/>
        <v>0.52486246734397679</v>
      </c>
      <c r="H23" s="193">
        <f t="shared" si="8"/>
        <v>-14803745</v>
      </c>
      <c r="I23" s="15">
        <f t="shared" si="9"/>
        <v>-8.3383833034843065</v>
      </c>
      <c r="J23" s="40">
        <f>[2]pb_spb_adm!J96-[2]pb_spb_adm!J98-[2]pb_spb_adm!J100-[2]pb_spb_adm!J101</f>
        <v>160999885</v>
      </c>
      <c r="K23" s="108">
        <f t="shared" si="3"/>
        <v>1.6261937405761735</v>
      </c>
      <c r="L23" s="109">
        <f t="shared" si="4"/>
        <v>0.49065883948435074</v>
      </c>
      <c r="M23" s="40">
        <f>[2]pb_spb_adm!M96-[2]pb_spb_adm!M98-[2]pb_spb_adm!M100-[2]pb_spb_adm!M101</f>
        <v>152721493</v>
      </c>
      <c r="N23" s="108">
        <f t="shared" si="5"/>
        <v>1.4845967237887883</v>
      </c>
      <c r="O23" s="109">
        <f t="shared" si="6"/>
        <v>0.44107290397111915</v>
      </c>
      <c r="Q23" s="305"/>
    </row>
    <row r="24" spans="1:17" s="33" customFormat="1">
      <c r="A24" s="107" t="s">
        <v>24</v>
      </c>
      <c r="B24" s="40">
        <f>[2]pb_spb_adm!B102</f>
        <v>6470731</v>
      </c>
      <c r="C24" s="108">
        <f t="shared" si="0"/>
        <v>7.2264853120463782E-2</v>
      </c>
      <c r="D24" s="109">
        <f t="shared" si="1"/>
        <v>2.2817204414824217E-2</v>
      </c>
      <c r="E24" s="40">
        <f>[2]pb_spb_adm!E102</f>
        <v>6750649</v>
      </c>
      <c r="F24" s="108">
        <f t="shared" si="7"/>
        <v>7.188046712929938E-2</v>
      </c>
      <c r="G24" s="109">
        <f t="shared" si="2"/>
        <v>2.1772775358813095E-2</v>
      </c>
      <c r="H24" s="193">
        <f t="shared" si="8"/>
        <v>279918</v>
      </c>
      <c r="I24" s="15">
        <f t="shared" si="9"/>
        <v>4.3259100092400757</v>
      </c>
      <c r="J24" s="40">
        <f>[2]pb_spb_adm!J102</f>
        <v>6382304</v>
      </c>
      <c r="K24" s="108">
        <f t="shared" si="3"/>
        <v>6.4465032476602541E-2</v>
      </c>
      <c r="L24" s="109">
        <f t="shared" si="4"/>
        <v>1.9450534848992777E-2</v>
      </c>
      <c r="M24" s="40">
        <f>[2]pb_spb_adm!M102</f>
        <v>6382304</v>
      </c>
      <c r="N24" s="108">
        <f t="shared" si="5"/>
        <v>6.2042004844885049E-2</v>
      </c>
      <c r="O24" s="109">
        <f t="shared" si="6"/>
        <v>1.8432646931407941E-2</v>
      </c>
      <c r="Q24" s="305"/>
    </row>
    <row r="25" spans="1:17" s="33" customFormat="1">
      <c r="A25" s="41" t="s">
        <v>70</v>
      </c>
      <c r="B25" s="40">
        <f>[2]pb_spb_adm!B105</f>
        <v>1331255</v>
      </c>
      <c r="C25" s="108">
        <f t="shared" si="0"/>
        <v>1.4867400150134973E-2</v>
      </c>
      <c r="D25" s="109">
        <f t="shared" si="1"/>
        <v>4.6942945802038154E-3</v>
      </c>
      <c r="E25" s="40">
        <f>[2]pb_spb_adm!E105</f>
        <v>1281040</v>
      </c>
      <c r="F25" s="108">
        <f t="shared" si="7"/>
        <v>1.3640429773688081E-2</v>
      </c>
      <c r="G25" s="109">
        <f t="shared" si="2"/>
        <v>4.1317206902112564E-3</v>
      </c>
      <c r="H25" s="193">
        <f t="shared" si="8"/>
        <v>-50215</v>
      </c>
      <c r="I25" s="15">
        <f t="shared" si="9"/>
        <v>-3.7720046121892494</v>
      </c>
      <c r="J25" s="40">
        <f>[2]pb_spb_adm!J105</f>
        <v>1331255</v>
      </c>
      <c r="K25" s="108">
        <f t="shared" si="3"/>
        <v>1.3446460213997877E-2</v>
      </c>
      <c r="L25" s="109">
        <f t="shared" si="4"/>
        <v>4.0570962728186995E-3</v>
      </c>
      <c r="M25" s="40">
        <f>[2]pb_spb_adm!M105</f>
        <v>1331255</v>
      </c>
      <c r="N25" s="108">
        <f t="shared" si="5"/>
        <v>1.2941052190522022E-2</v>
      </c>
      <c r="O25" s="109">
        <f t="shared" si="6"/>
        <v>3.844779783393502E-3</v>
      </c>
      <c r="Q25" s="305"/>
    </row>
    <row r="26" spans="1:17" s="33" customFormat="1">
      <c r="A26" s="107" t="s">
        <v>23</v>
      </c>
      <c r="B26" s="40">
        <f>[2]pb_spb_adm!B108</f>
        <v>5477410</v>
      </c>
      <c r="C26" s="108">
        <f t="shared" si="0"/>
        <v>6.1171485745669156E-2</v>
      </c>
      <c r="D26" s="109">
        <f t="shared" si="1"/>
        <v>1.9314538594449735E-2</v>
      </c>
      <c r="E26" s="40">
        <f>[2]pb_spb_adm!E108</f>
        <v>5722422</v>
      </c>
      <c r="F26" s="108">
        <f t="shared" si="7"/>
        <v>6.0931973573352671E-2</v>
      </c>
      <c r="G26" s="109">
        <f t="shared" si="2"/>
        <v>1.8456448959845186E-2</v>
      </c>
      <c r="H26" s="193">
        <f t="shared" si="8"/>
        <v>245012</v>
      </c>
      <c r="I26" s="15">
        <f t="shared" si="9"/>
        <v>4.4731360259684863</v>
      </c>
      <c r="J26" s="40">
        <f>[2]pb_spb_adm!J108</f>
        <v>5930287</v>
      </c>
      <c r="K26" s="108">
        <f t="shared" si="3"/>
        <v>5.9899394333233554E-2</v>
      </c>
      <c r="L26" s="109">
        <f t="shared" si="4"/>
        <v>1.8072980221253771E-2</v>
      </c>
      <c r="M26" s="40">
        <f>[2]pb_spb_adm!M108</f>
        <v>5984346</v>
      </c>
      <c r="N26" s="108">
        <f t="shared" si="5"/>
        <v>5.8173478343474153E-2</v>
      </c>
      <c r="O26" s="109">
        <f t="shared" si="6"/>
        <v>1.7283309747292419E-2</v>
      </c>
      <c r="Q26" s="305"/>
    </row>
    <row r="27" spans="1:17" s="33" customFormat="1">
      <c r="A27" s="42" t="s">
        <v>22</v>
      </c>
      <c r="B27" s="40">
        <f>[2]pb_spb_adm!B111-[2]pb_spb_adm!B114</f>
        <v>815805790</v>
      </c>
      <c r="C27" s="35">
        <f t="shared" si="0"/>
        <v>9.1108849354383494</v>
      </c>
      <c r="D27" s="34">
        <f t="shared" si="1"/>
        <v>2.8767085933918688</v>
      </c>
      <c r="E27" s="40">
        <f>[2]pb_spb_adm!E111-[2]pb_spb_adm!E114</f>
        <v>1170636438</v>
      </c>
      <c r="F27" s="35">
        <f t="shared" si="7"/>
        <v>12.464859897473429</v>
      </c>
      <c r="G27" s="34">
        <f t="shared" si="2"/>
        <v>3.7756376003870344</v>
      </c>
      <c r="H27" s="193">
        <f t="shared" si="8"/>
        <v>354830648</v>
      </c>
      <c r="I27" s="15">
        <f t="shared" si="9"/>
        <v>43.494499836780989</v>
      </c>
      <c r="J27" s="40">
        <f>[2]pb_spb_adm!J111-[2]pb_spb_adm!J114</f>
        <v>996310389</v>
      </c>
      <c r="K27" s="35">
        <f t="shared" si="3"/>
        <v>10.063322208353208</v>
      </c>
      <c r="L27" s="34">
        <f t="shared" si="4"/>
        <v>3.0363282509980798</v>
      </c>
      <c r="M27" s="40">
        <f>[2]pb_spb_adm!M111</f>
        <v>989203820</v>
      </c>
      <c r="N27" s="35">
        <f t="shared" si="5"/>
        <v>9.6159926247666672</v>
      </c>
      <c r="O27" s="34">
        <f t="shared" si="6"/>
        <v>2.8569063393501808</v>
      </c>
      <c r="Q27" s="305"/>
    </row>
    <row r="28" spans="1:17" s="33" customFormat="1">
      <c r="A28" s="42" t="s">
        <v>21</v>
      </c>
      <c r="B28" s="40">
        <f>[2]pb_spb_adm!B116</f>
        <v>1715772</v>
      </c>
      <c r="C28" s="35">
        <f t="shared" si="0"/>
        <v>1.916166992078706E-2</v>
      </c>
      <c r="D28" s="34">
        <f t="shared" si="1"/>
        <v>6.0501851264148946E-3</v>
      </c>
      <c r="E28" s="40">
        <f>[2]pb_spb_adm!E116</f>
        <v>2330564</v>
      </c>
      <c r="F28" s="35">
        <f t="shared" si="7"/>
        <v>2.4815692386721409E-2</v>
      </c>
      <c r="G28" s="34">
        <f t="shared" si="2"/>
        <v>7.5167360103209164E-3</v>
      </c>
      <c r="H28" s="193">
        <f t="shared" si="8"/>
        <v>614792</v>
      </c>
      <c r="I28" s="15">
        <f t="shared" si="9"/>
        <v>35.831800495636941</v>
      </c>
      <c r="J28" s="40">
        <f>[2]pb_spb_adm!J116</f>
        <v>1996786</v>
      </c>
      <c r="K28" s="35">
        <f t="shared" si="3"/>
        <v>2.0168715614114475E-2</v>
      </c>
      <c r="L28" s="34">
        <f t="shared" si="4"/>
        <v>6.0853503184713376E-3</v>
      </c>
      <c r="M28" s="40">
        <f>[2]pb_spb_adm!M116</f>
        <v>2006844</v>
      </c>
      <c r="N28" s="35">
        <f t="shared" si="5"/>
        <v>1.9508413446136144E-2</v>
      </c>
      <c r="O28" s="34">
        <f t="shared" si="6"/>
        <v>5.7959393501805052E-3</v>
      </c>
      <c r="Q28" s="305"/>
    </row>
    <row r="29" spans="1:17" s="33" customFormat="1">
      <c r="A29" s="42" t="s">
        <v>20</v>
      </c>
      <c r="B29" s="40">
        <f>[2]pb_spb_adm!B118</f>
        <v>28406100</v>
      </c>
      <c r="C29" s="35">
        <f t="shared" si="0"/>
        <v>0.31723813649882932</v>
      </c>
      <c r="D29" s="34">
        <f t="shared" si="1"/>
        <v>0.10016608484079129</v>
      </c>
      <c r="E29" s="40">
        <f>[2]pb_spb_adm!E118</f>
        <v>32511880</v>
      </c>
      <c r="F29" s="35">
        <f t="shared" si="7"/>
        <v>0.34618436266671931</v>
      </c>
      <c r="G29" s="34">
        <f t="shared" si="2"/>
        <v>0.10486011933559101</v>
      </c>
      <c r="H29" s="193">
        <f t="shared" si="8"/>
        <v>4105780</v>
      </c>
      <c r="I29" s="15">
        <f t="shared" si="9"/>
        <v>14.453867303149678</v>
      </c>
      <c r="J29" s="40">
        <f>[2]pb_spb_adm!J118</f>
        <v>35526693</v>
      </c>
      <c r="K29" s="35">
        <f t="shared" si="3"/>
        <v>0.35884054066232007</v>
      </c>
      <c r="L29" s="34">
        <f t="shared" si="4"/>
        <v>0.10827017645445403</v>
      </c>
      <c r="M29" s="40">
        <f>[2]pb_spb_adm!M118</f>
        <v>34504754</v>
      </c>
      <c r="N29" s="35">
        <f t="shared" si="5"/>
        <v>0.33541870065098228</v>
      </c>
      <c r="O29" s="34">
        <f t="shared" si="6"/>
        <v>9.9652719133574014E-2</v>
      </c>
      <c r="Q29" s="305"/>
    </row>
    <row r="30" spans="1:17" s="33" customFormat="1">
      <c r="A30" s="42" t="s">
        <v>19</v>
      </c>
      <c r="B30" s="40">
        <f>[2]pb_spb_adm!B121</f>
        <v>3620602</v>
      </c>
      <c r="C30" s="35">
        <f t="shared" si="0"/>
        <v>4.0434731676785421E-2</v>
      </c>
      <c r="D30" s="34">
        <f t="shared" si="1"/>
        <v>1.2767029867061604E-2</v>
      </c>
      <c r="E30" s="40">
        <v>3502831</v>
      </c>
      <c r="F30" s="35">
        <f t="shared" si="7"/>
        <v>3.7297914401265848E-2</v>
      </c>
      <c r="G30" s="34">
        <f t="shared" si="2"/>
        <v>1.129763263989679E-2</v>
      </c>
      <c r="H30" s="193">
        <f t="shared" si="8"/>
        <v>-117771</v>
      </c>
      <c r="I30" s="15">
        <f t="shared" si="9"/>
        <v>-3.25280160592078</v>
      </c>
      <c r="J30" s="40">
        <f>[2]pb_spb_adm!J121</f>
        <v>501000</v>
      </c>
      <c r="K30" s="35">
        <f t="shared" si="3"/>
        <v>5.0603953166094675E-3</v>
      </c>
      <c r="L30" s="34">
        <f t="shared" si="4"/>
        <v>1.5268338768171152E-3</v>
      </c>
      <c r="M30" s="40">
        <f>[2]pb_spb_adm!M121</f>
        <v>863261</v>
      </c>
      <c r="N30" s="35">
        <f t="shared" si="5"/>
        <v>8.3917098189619788E-3</v>
      </c>
      <c r="O30" s="34">
        <f t="shared" si="6"/>
        <v>2.493172563176895E-3</v>
      </c>
      <c r="Q30" s="305"/>
    </row>
    <row r="31" spans="1:17" s="33" customFormat="1">
      <c r="A31" s="42" t="s">
        <v>18</v>
      </c>
      <c r="B31" s="40">
        <f>[2]pb_spb_adm!B123</f>
        <v>106508</v>
      </c>
      <c r="C31" s="35">
        <f t="shared" si="0"/>
        <v>1.1894768884928698E-3</v>
      </c>
      <c r="D31" s="34">
        <f t="shared" si="1"/>
        <v>3.7557036566874716E-4</v>
      </c>
      <c r="E31" s="40">
        <f>[2]pb_spb_adm!E123</f>
        <v>106508</v>
      </c>
      <c r="F31" s="35">
        <f t="shared" si="7"/>
        <v>1.1340901879222898E-3</v>
      </c>
      <c r="G31" s="34">
        <f t="shared" si="2"/>
        <v>3.435187872923722E-4</v>
      </c>
      <c r="H31" s="193">
        <f t="shared" si="8"/>
        <v>0</v>
      </c>
      <c r="I31" s="15">
        <f t="shared" si="9"/>
        <v>0</v>
      </c>
      <c r="J31" s="40">
        <f>[2]pb_spb_adm!J123</f>
        <v>106508</v>
      </c>
      <c r="K31" s="35">
        <f t="shared" si="3"/>
        <v>1.0757935815996829E-3</v>
      </c>
      <c r="L31" s="34">
        <f t="shared" si="4"/>
        <v>3.2459086337731998E-4</v>
      </c>
      <c r="M31" s="40">
        <f>[2]pb_spb_adm!M123</f>
        <v>106508</v>
      </c>
      <c r="N31" s="35">
        <f t="shared" si="5"/>
        <v>1.0353580543983828E-3</v>
      </c>
      <c r="O31" s="34">
        <f t="shared" si="6"/>
        <v>3.0760433212996394E-4</v>
      </c>
      <c r="Q31" s="305"/>
    </row>
    <row r="32" spans="1:17" s="33" customFormat="1">
      <c r="A32" s="39" t="s">
        <v>17</v>
      </c>
      <c r="B32" s="36">
        <f>[2]pb_spb_adm!B125</f>
        <v>25524153</v>
      </c>
      <c r="C32" s="35">
        <f t="shared" si="0"/>
        <v>0.28505267296218079</v>
      </c>
      <c r="D32" s="34">
        <f t="shared" si="1"/>
        <v>9.000371310695017E-2</v>
      </c>
      <c r="E32" s="36">
        <f>[2]pb_spb_adm!E125</f>
        <v>24640977</v>
      </c>
      <c r="F32" s="35">
        <f t="shared" si="7"/>
        <v>0.26237550453035285</v>
      </c>
      <c r="G32" s="34">
        <f t="shared" si="2"/>
        <v>7.9474204160619247E-2</v>
      </c>
      <c r="H32" s="193">
        <f t="shared" si="8"/>
        <v>-883176</v>
      </c>
      <c r="I32" s="15">
        <f t="shared" si="9"/>
        <v>-3.4601579139570333</v>
      </c>
      <c r="J32" s="36">
        <f>[2]pb_spb_adm!J125</f>
        <v>23000131</v>
      </c>
      <c r="K32" s="35">
        <f t="shared" si="3"/>
        <v>0.23231488062635575</v>
      </c>
      <c r="L32" s="34">
        <f t="shared" si="4"/>
        <v>7.0094569225611802E-2</v>
      </c>
      <c r="M32" s="36">
        <f>[2]pb_spb_adm!M125</f>
        <v>23725781</v>
      </c>
      <c r="N32" s="35">
        <f t="shared" si="5"/>
        <v>0.23063693295566645</v>
      </c>
      <c r="O32" s="34">
        <f t="shared" si="6"/>
        <v>6.8522111191335736E-2</v>
      </c>
      <c r="Q32" s="305"/>
    </row>
    <row r="33" spans="1:17" s="33" customFormat="1">
      <c r="A33" s="39" t="s">
        <v>16</v>
      </c>
      <c r="B33" s="36">
        <f>[2]pb_spb_adm!B127</f>
        <v>353304927</v>
      </c>
      <c r="C33" s="35">
        <f t="shared" si="0"/>
        <v>3.9456946450704224</v>
      </c>
      <c r="D33" s="34">
        <f t="shared" si="1"/>
        <v>1.2458299904792129</v>
      </c>
      <c r="E33" s="36">
        <f>[2]pb_spb_adm!E127</f>
        <v>364639608</v>
      </c>
      <c r="F33" s="35">
        <f t="shared" si="7"/>
        <v>3.8826585942899139</v>
      </c>
      <c r="G33" s="34">
        <f t="shared" si="2"/>
        <v>1.1760671117561683</v>
      </c>
      <c r="H33" s="193">
        <f t="shared" si="8"/>
        <v>11334681</v>
      </c>
      <c r="I33" s="15">
        <f t="shared" si="9"/>
        <v>3.2081865079679517</v>
      </c>
      <c r="J33" s="36">
        <f>[2]pb_spb_adm!J127</f>
        <v>364450898</v>
      </c>
      <c r="K33" s="35">
        <f t="shared" si="3"/>
        <v>3.6811688969527236</v>
      </c>
      <c r="L33" s="34">
        <f t="shared" si="4"/>
        <v>1.1106905738579222</v>
      </c>
      <c r="M33" s="36">
        <f>[2]pb_spb_adm!M127</f>
        <v>364450898</v>
      </c>
      <c r="N33" s="35">
        <f t="shared" si="5"/>
        <v>3.542805917649599</v>
      </c>
      <c r="O33" s="34">
        <f t="shared" si="6"/>
        <v>1.0525657703971121</v>
      </c>
      <c r="Q33" s="305"/>
    </row>
    <row r="34" spans="1:17" s="33" customFormat="1">
      <c r="A34" s="38" t="s">
        <v>15</v>
      </c>
      <c r="B34" s="36">
        <f>[2]pb_spb_adm!B129</f>
        <v>58305582</v>
      </c>
      <c r="C34" s="35">
        <f t="shared" si="0"/>
        <v>0.65115430070159874</v>
      </c>
      <c r="D34" s="34">
        <f t="shared" si="1"/>
        <v>0.20559815931450337</v>
      </c>
      <c r="E34" s="36">
        <f>[2]pb_spb_adm!E129</f>
        <v>122938742</v>
      </c>
      <c r="F34" s="35">
        <f t="shared" si="7"/>
        <v>1.3090436494696165</v>
      </c>
      <c r="G34" s="34">
        <f t="shared" si="2"/>
        <v>0.39651263344621829</v>
      </c>
      <c r="H34" s="193">
        <f t="shared" si="8"/>
        <v>64633160</v>
      </c>
      <c r="I34" s="15">
        <f t="shared" si="9"/>
        <v>110.85243947997984</v>
      </c>
      <c r="J34" s="36">
        <f>[2]pb_spb_adm!J129</f>
        <v>265219282</v>
      </c>
      <c r="K34" s="35">
        <f t="shared" si="3"/>
        <v>2.6788710828489535</v>
      </c>
      <c r="L34" s="34">
        <f t="shared" si="4"/>
        <v>0.80827501904732879</v>
      </c>
      <c r="M34" s="36">
        <f>[2]pb_spb_adm!M129</f>
        <v>304356007</v>
      </c>
      <c r="N34" s="35">
        <f t="shared" si="5"/>
        <v>2.9586269881321647</v>
      </c>
      <c r="O34" s="34">
        <f t="shared" si="6"/>
        <v>0.87900651841155231</v>
      </c>
      <c r="Q34" s="305"/>
    </row>
    <row r="35" spans="1:17" s="33" customFormat="1" ht="31.5">
      <c r="A35" s="194" t="s">
        <v>14</v>
      </c>
      <c r="B35" s="195">
        <f>[2]pb_spb_adm!B131</f>
        <v>382116763</v>
      </c>
      <c r="C35" s="196">
        <f t="shared" si="0"/>
        <v>4.2674640242442576</v>
      </c>
      <c r="D35" s="197">
        <f t="shared" si="1"/>
        <v>1.3474267886737896</v>
      </c>
      <c r="E35" s="195">
        <v>66657373</v>
      </c>
      <c r="F35" s="196">
        <f t="shared" si="7"/>
        <v>0.70976332925203911</v>
      </c>
      <c r="G35" s="197">
        <f t="shared" si="2"/>
        <v>0.21498910820835349</v>
      </c>
      <c r="H35" s="198">
        <f t="shared" si="8"/>
        <v>-315459390</v>
      </c>
      <c r="I35" s="190">
        <f t="shared" si="9"/>
        <v>-82.555757963436946</v>
      </c>
      <c r="J35" s="195">
        <f>[2]pb_spb_adm!J131</f>
        <v>550145370</v>
      </c>
      <c r="K35" s="196">
        <f t="shared" si="3"/>
        <v>5.556792522559646</v>
      </c>
      <c r="L35" s="197">
        <f t="shared" si="4"/>
        <v>1.6766079602596531</v>
      </c>
      <c r="M35" s="195">
        <f>[2]pb_spb_adm!M131</f>
        <v>1223671832</v>
      </c>
      <c r="N35" s="196">
        <f t="shared" si="5"/>
        <v>11.895242490720181</v>
      </c>
      <c r="O35" s="197">
        <f t="shared" si="6"/>
        <v>3.5340702729241875</v>
      </c>
      <c r="Q35" s="305"/>
    </row>
    <row r="36" spans="1:17" s="33" customFormat="1">
      <c r="A36" s="176" t="s">
        <v>0</v>
      </c>
      <c r="B36" s="306">
        <f>SUM(B5:B35)</f>
        <v>8954188268</v>
      </c>
      <c r="C36" s="177">
        <f t="shared" si="0"/>
        <v>100</v>
      </c>
      <c r="D36" s="178">
        <f t="shared" si="1"/>
        <v>31.574414711379102</v>
      </c>
      <c r="E36" s="306">
        <f>SUM(E5:E35)</f>
        <v>9391492946</v>
      </c>
      <c r="F36" s="177">
        <f t="shared" si="7"/>
        <v>100</v>
      </c>
      <c r="G36" s="178">
        <f t="shared" si="2"/>
        <v>30.290253010804708</v>
      </c>
      <c r="H36" s="179">
        <f>E36-B36</f>
        <v>437304678</v>
      </c>
      <c r="I36" s="171">
        <f>E36/B36*100-100</f>
        <v>4.8838003503099969</v>
      </c>
      <c r="J36" s="306">
        <f>SUM(J5:J35)</f>
        <v>9900412293</v>
      </c>
      <c r="K36" s="177">
        <f t="shared" si="3"/>
        <v>100</v>
      </c>
      <c r="L36" s="178">
        <f t="shared" si="4"/>
        <v>30.172225316185656</v>
      </c>
      <c r="M36" s="306">
        <f>SUM(M5:M35)</f>
        <v>10287069246</v>
      </c>
      <c r="N36" s="177">
        <f t="shared" si="5"/>
        <v>100</v>
      </c>
      <c r="O36" s="178">
        <f t="shared" si="6"/>
        <v>29.709947280866427</v>
      </c>
    </row>
    <row r="37" spans="1:17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7" s="32" customFormat="1">
      <c r="A38" s="220" t="s">
        <v>121</v>
      </c>
      <c r="B38" s="255">
        <f>[2]pb_spb_adm!B154</f>
        <v>28359</v>
      </c>
      <c r="C38" s="221"/>
      <c r="D38" s="221"/>
      <c r="E38" s="255">
        <f>[2]pb_spb_adm!E154</f>
        <v>31005</v>
      </c>
      <c r="F38" s="222"/>
      <c r="G38" s="222"/>
      <c r="H38" s="222"/>
      <c r="I38" s="222"/>
      <c r="J38" s="255">
        <f>[2]pb_spb_adm!J154</f>
        <v>32813</v>
      </c>
      <c r="K38" s="222"/>
      <c r="L38" s="222"/>
      <c r="M38" s="255">
        <f>[2]pb_spb_adm!M154</f>
        <v>34625</v>
      </c>
      <c r="N38" s="222"/>
      <c r="O38" s="222"/>
    </row>
    <row r="39" spans="1:17">
      <c r="B39" s="287"/>
    </row>
  </sheetData>
  <mergeCells count="1">
    <mergeCell ref="A2:I2"/>
  </mergeCells>
  <pageMargins left="0.39370078740157483" right="0.19685039370078741" top="0.6692913385826772" bottom="0.43307086614173229" header="0.39370078740157483" footer="0.19685039370078741"/>
  <pageSetup paperSize="9" scale="70" firstPageNumber="932" orientation="landscape" useFirstPageNumber="1" r:id="rId1"/>
  <headerFooter alignWithMargins="0">
    <oddHeader>&amp;C&amp;P</oddHeader>
    <oddFooter>&amp;LFMPask_L_090519_bud2019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56"/>
  <sheetViews>
    <sheetView view="pageLayout" zoomScale="85" zoomScaleNormal="80" zoomScalePageLayoutView="85" workbookViewId="0">
      <selection activeCell="E6" sqref="E6"/>
    </sheetView>
  </sheetViews>
  <sheetFormatPr defaultColWidth="9.140625" defaultRowHeight="15.75"/>
  <cols>
    <col min="1" max="1" width="54.85546875" style="50" customWidth="1"/>
    <col min="2" max="2" width="19.42578125" style="235" customWidth="1"/>
    <col min="3" max="3" width="7.28515625" style="49" hidden="1" customWidth="1"/>
    <col min="4" max="4" width="8.140625" style="268" customWidth="1"/>
    <col min="5" max="5" width="21" style="49" customWidth="1"/>
    <col min="6" max="6" width="7" style="49" hidden="1" customWidth="1"/>
    <col min="7" max="7" width="8.28515625" style="268" customWidth="1"/>
    <col min="8" max="8" width="17.85546875" style="208" customWidth="1"/>
    <col min="9" max="9" width="12.5703125" style="268" customWidth="1"/>
    <col min="10" max="10" width="18.7109375" style="49" customWidth="1"/>
    <col min="11" max="11" width="7" style="49" hidden="1" customWidth="1"/>
    <col min="12" max="12" width="8.140625" style="208" customWidth="1"/>
    <col min="13" max="13" width="18.7109375" style="49" customWidth="1"/>
    <col min="14" max="14" width="7" style="49" hidden="1" customWidth="1"/>
    <col min="15" max="15" width="15.7109375" style="208" customWidth="1"/>
    <col min="16" max="16384" width="9.140625" style="49"/>
  </cols>
  <sheetData>
    <row r="1" spans="1:15">
      <c r="A1" s="346"/>
      <c r="B1" s="346"/>
      <c r="C1" s="346"/>
      <c r="D1" s="346"/>
      <c r="E1" s="346"/>
      <c r="F1" s="346"/>
      <c r="G1" s="346"/>
      <c r="H1" s="346"/>
      <c r="I1" s="346"/>
      <c r="M1" s="348"/>
    </row>
    <row r="2" spans="1:15" ht="15.75" customHeight="1">
      <c r="A2" s="358" t="s">
        <v>129</v>
      </c>
      <c r="B2" s="358"/>
      <c r="C2" s="358"/>
      <c r="D2" s="358"/>
      <c r="E2" s="358"/>
      <c r="F2" s="358"/>
      <c r="G2" s="358"/>
      <c r="H2" s="358"/>
      <c r="I2" s="358"/>
      <c r="J2" s="350"/>
      <c r="K2" s="350"/>
      <c r="L2" s="350"/>
      <c r="M2" s="350"/>
      <c r="N2" s="350"/>
      <c r="O2" s="350"/>
    </row>
    <row r="3" spans="1:15">
      <c r="A3" s="57"/>
      <c r="B3" s="252"/>
      <c r="C3" s="72"/>
      <c r="D3" s="280"/>
      <c r="E3" s="72"/>
      <c r="F3" s="72"/>
      <c r="G3" s="277"/>
      <c r="I3" s="307"/>
      <c r="J3" s="72"/>
      <c r="K3" s="72"/>
      <c r="L3" s="283"/>
      <c r="M3" s="72"/>
      <c r="N3" s="72"/>
      <c r="O3" s="283"/>
    </row>
    <row r="4" spans="1:15" ht="63.75">
      <c r="A4" s="308" t="s">
        <v>42</v>
      </c>
      <c r="B4" s="199" t="s">
        <v>140</v>
      </c>
      <c r="C4" s="199" t="s">
        <v>1</v>
      </c>
      <c r="D4" s="199" t="s">
        <v>2</v>
      </c>
      <c r="E4" s="199" t="s">
        <v>158</v>
      </c>
      <c r="F4" s="199" t="s">
        <v>1</v>
      </c>
      <c r="G4" s="199" t="s">
        <v>2</v>
      </c>
      <c r="H4" s="199" t="s">
        <v>141</v>
      </c>
      <c r="I4" s="199" t="s">
        <v>142</v>
      </c>
      <c r="J4" s="199" t="s">
        <v>143</v>
      </c>
      <c r="K4" s="199" t="s">
        <v>1</v>
      </c>
      <c r="L4" s="199" t="s">
        <v>2</v>
      </c>
      <c r="M4" s="199" t="s">
        <v>144</v>
      </c>
      <c r="N4" s="199" t="s">
        <v>1</v>
      </c>
      <c r="O4" s="199" t="s">
        <v>2</v>
      </c>
    </row>
    <row r="5" spans="1:15">
      <c r="A5" s="131" t="s">
        <v>82</v>
      </c>
      <c r="B5" s="132">
        <f>B6</f>
        <v>5705927</v>
      </c>
      <c r="C5" s="67">
        <f t="shared" ref="C5:C28" si="0">B5/$B$138*100</f>
        <v>8.738131544772168E-2</v>
      </c>
      <c r="D5" s="278">
        <f t="shared" ref="D5:D36" si="1">B5/$B$155/1000000*100</f>
        <v>2.0120339222116434E-2</v>
      </c>
      <c r="E5" s="132">
        <v>4861735</v>
      </c>
      <c r="F5" s="67">
        <f>E5/$E$138*100</f>
        <v>7.0640005187368723E-2</v>
      </c>
      <c r="G5" s="278">
        <f t="shared" ref="G5:G36" si="2">E5/$E$155/1000000*100</f>
        <v>1.5680487018222868E-2</v>
      </c>
      <c r="H5" s="247">
        <f t="shared" ref="H5:H71" si="3">E5-B5</f>
        <v>-844192</v>
      </c>
      <c r="I5" s="309">
        <f t="shared" ref="I5:I81" si="4">E5/B5*100-100</f>
        <v>-14.79500175869758</v>
      </c>
      <c r="J5" s="132">
        <v>4861735</v>
      </c>
      <c r="K5" s="67">
        <f t="shared" ref="K5:K36" si="5">J5/$J$138*100</f>
        <v>6.8286167235089471E-2</v>
      </c>
      <c r="L5" s="278">
        <f t="shared" ref="L5:L36" si="6">J5/$J$155/1000000*100</f>
        <v>1.4816490415384145E-2</v>
      </c>
      <c r="M5" s="132">
        <v>4861735</v>
      </c>
      <c r="N5" s="67">
        <f>M5/$M$138*100</f>
        <v>6.6430853323540665E-2</v>
      </c>
      <c r="O5" s="278">
        <f t="shared" ref="O5:O36" si="7">M5/$M$155/1000000*100</f>
        <v>1.40411119133574E-2</v>
      </c>
    </row>
    <row r="6" spans="1:15">
      <c r="A6" s="115" t="s">
        <v>79</v>
      </c>
      <c r="B6" s="134">
        <v>5705927</v>
      </c>
      <c r="C6" s="242">
        <f t="shared" si="0"/>
        <v>8.738131544772168E-2</v>
      </c>
      <c r="D6" s="278">
        <f t="shared" si="1"/>
        <v>2.0120339222116434E-2</v>
      </c>
      <c r="E6" s="134">
        <v>4861735</v>
      </c>
      <c r="F6" s="67">
        <f>E6/$E$138*100</f>
        <v>7.0640005187368723E-2</v>
      </c>
      <c r="G6" s="278">
        <f t="shared" si="2"/>
        <v>1.5680487018222868E-2</v>
      </c>
      <c r="H6" s="247">
        <f t="shared" si="3"/>
        <v>-844192</v>
      </c>
      <c r="I6" s="309">
        <f t="shared" si="4"/>
        <v>-14.79500175869758</v>
      </c>
      <c r="J6" s="134">
        <v>4861735</v>
      </c>
      <c r="K6" s="67">
        <f t="shared" si="5"/>
        <v>6.8286167235089471E-2</v>
      </c>
      <c r="L6" s="278">
        <f t="shared" si="6"/>
        <v>1.4816490415384145E-2</v>
      </c>
      <c r="M6" s="134">
        <v>4861735</v>
      </c>
      <c r="N6" s="67">
        <f>M6/$M$138*100</f>
        <v>6.6430853323540665E-2</v>
      </c>
      <c r="O6" s="278">
        <f t="shared" si="7"/>
        <v>1.40411119133574E-2</v>
      </c>
    </row>
    <row r="7" spans="1:15">
      <c r="A7" s="131" t="s">
        <v>83</v>
      </c>
      <c r="B7" s="132">
        <f>B8</f>
        <v>22103581</v>
      </c>
      <c r="C7" s="218">
        <f t="shared" si="0"/>
        <v>0.33849714233730427</v>
      </c>
      <c r="D7" s="278">
        <f t="shared" si="1"/>
        <v>7.7942032511724685E-2</v>
      </c>
      <c r="E7" s="132">
        <v>23156670</v>
      </c>
      <c r="F7" s="67">
        <f>E7/$E$138*100</f>
        <v>0.3364616312740587</v>
      </c>
      <c r="G7" s="278">
        <f t="shared" si="2"/>
        <v>7.4686889211417515E-2</v>
      </c>
      <c r="H7" s="247">
        <f t="shared" si="3"/>
        <v>1053089</v>
      </c>
      <c r="I7" s="309">
        <f t="shared" si="4"/>
        <v>4.7643366022908253</v>
      </c>
      <c r="J7" s="132">
        <v>24828681</v>
      </c>
      <c r="K7" s="67">
        <f t="shared" si="5"/>
        <v>0.34873465192831127</v>
      </c>
      <c r="L7" s="278">
        <f t="shared" si="6"/>
        <v>7.5667208118733426E-2</v>
      </c>
      <c r="M7" s="132">
        <v>23242205</v>
      </c>
      <c r="N7" s="67">
        <f>M7/$M$138*100</f>
        <v>0.31758199722334995</v>
      </c>
      <c r="O7" s="278">
        <f t="shared" si="7"/>
        <v>6.7125501805054152E-2</v>
      </c>
    </row>
    <row r="8" spans="1:15">
      <c r="A8" s="115" t="s">
        <v>79</v>
      </c>
      <c r="B8" s="134">
        <v>22103581</v>
      </c>
      <c r="C8" s="242">
        <f t="shared" si="0"/>
        <v>0.33849714233730427</v>
      </c>
      <c r="D8" s="278">
        <f t="shared" si="1"/>
        <v>7.7942032511724685E-2</v>
      </c>
      <c r="E8" s="134">
        <v>23156670</v>
      </c>
      <c r="F8" s="67">
        <v>0.43848111445500443</v>
      </c>
      <c r="G8" s="278">
        <f t="shared" si="2"/>
        <v>7.4686889211417515E-2</v>
      </c>
      <c r="H8" s="247">
        <f t="shared" si="3"/>
        <v>1053089</v>
      </c>
      <c r="I8" s="309">
        <f t="shared" si="4"/>
        <v>4.7643366022908253</v>
      </c>
      <c r="J8" s="134">
        <v>24828681</v>
      </c>
      <c r="K8" s="67">
        <f t="shared" si="5"/>
        <v>0.34873465192831127</v>
      </c>
      <c r="L8" s="278">
        <f t="shared" si="6"/>
        <v>7.5667208118733426E-2</v>
      </c>
      <c r="M8" s="134">
        <v>23242205</v>
      </c>
      <c r="N8" s="67">
        <v>0.34940414223695765</v>
      </c>
      <c r="O8" s="278">
        <f t="shared" si="7"/>
        <v>6.7125501805054152E-2</v>
      </c>
    </row>
    <row r="9" spans="1:15">
      <c r="A9" s="310" t="s">
        <v>12</v>
      </c>
      <c r="B9" s="228">
        <v>188</v>
      </c>
      <c r="C9" s="232">
        <f t="shared" si="0"/>
        <v>2.8790566903803139E-6</v>
      </c>
      <c r="D9" s="278">
        <f t="shared" si="1"/>
        <v>6.6292887619450615E-7</v>
      </c>
      <c r="E9" s="228">
        <v>187</v>
      </c>
      <c r="F9" s="67">
        <f t="shared" ref="F9:F40" si="8">E9/$E$138*100</f>
        <v>2.7170713685624478E-6</v>
      </c>
      <c r="G9" s="278">
        <f t="shared" si="2"/>
        <v>6.0312852765682951E-7</v>
      </c>
      <c r="H9" s="247">
        <f t="shared" si="3"/>
        <v>-1</v>
      </c>
      <c r="I9" s="309">
        <f t="shared" si="4"/>
        <v>-0.53191489361702793</v>
      </c>
      <c r="J9" s="228">
        <v>187</v>
      </c>
      <c r="K9" s="67">
        <f t="shared" si="5"/>
        <v>2.6265342049621648E-6</v>
      </c>
      <c r="L9" s="278">
        <f t="shared" si="6"/>
        <v>5.698960777740529E-7</v>
      </c>
      <c r="M9" s="228">
        <v>187</v>
      </c>
      <c r="N9" s="67">
        <f t="shared" ref="N9:N26" si="9">M9/$M$138*100</f>
        <v>2.5551720880513032E-6</v>
      </c>
      <c r="O9" s="278">
        <f t="shared" si="7"/>
        <v>5.4007220216606492E-7</v>
      </c>
    </row>
    <row r="10" spans="1:15">
      <c r="A10" s="135" t="s">
        <v>84</v>
      </c>
      <c r="B10" s="132">
        <f>B11+B12</f>
        <v>9077072</v>
      </c>
      <c r="C10" s="231">
        <f t="shared" si="0"/>
        <v>0.13900747271629693</v>
      </c>
      <c r="D10" s="278">
        <f t="shared" si="1"/>
        <v>3.2007729468599033E-2</v>
      </c>
      <c r="E10" s="132">
        <v>10388454</v>
      </c>
      <c r="F10" s="62">
        <f t="shared" si="8"/>
        <v>0.15094209051886651</v>
      </c>
      <c r="G10" s="278">
        <f t="shared" si="2"/>
        <v>3.3505737784228357E-2</v>
      </c>
      <c r="H10" s="247">
        <f t="shared" si="3"/>
        <v>1311382</v>
      </c>
      <c r="I10" s="309">
        <f t="shared" si="4"/>
        <v>14.447191781667044</v>
      </c>
      <c r="J10" s="132">
        <v>10941334</v>
      </c>
      <c r="K10" s="62">
        <f t="shared" si="5"/>
        <v>0.15367801068938772</v>
      </c>
      <c r="L10" s="278">
        <f t="shared" si="6"/>
        <v>3.334450979794594E-2</v>
      </c>
      <c r="M10" s="132">
        <v>7260439</v>
      </c>
      <c r="N10" s="62">
        <f t="shared" si="9"/>
        <v>9.9206797218177101E-2</v>
      </c>
      <c r="O10" s="278">
        <f t="shared" si="7"/>
        <v>2.0968776895306861E-2</v>
      </c>
    </row>
    <row r="11" spans="1:15">
      <c r="A11" s="115" t="s">
        <v>79</v>
      </c>
      <c r="B11" s="134">
        <v>6417541</v>
      </c>
      <c r="C11" s="242">
        <f t="shared" si="0"/>
        <v>9.8279065701276438E-2</v>
      </c>
      <c r="D11" s="278">
        <f t="shared" si="1"/>
        <v>2.2629644909905145E-2</v>
      </c>
      <c r="E11" s="134">
        <v>6682845</v>
      </c>
      <c r="F11" s="67">
        <f t="shared" si="8"/>
        <v>9.7100357272944984E-2</v>
      </c>
      <c r="G11" s="278">
        <f t="shared" si="2"/>
        <v>2.1554088050314463E-2</v>
      </c>
      <c r="H11" s="247">
        <f t="shared" si="3"/>
        <v>265304</v>
      </c>
      <c r="I11" s="309">
        <f t="shared" si="4"/>
        <v>4.1340444883795726</v>
      </c>
      <c r="J11" s="134">
        <v>6272828</v>
      </c>
      <c r="K11" s="67">
        <f t="shared" si="5"/>
        <v>8.8105867934996834E-2</v>
      </c>
      <c r="L11" s="278">
        <f t="shared" si="6"/>
        <v>1.9116898790113673E-2</v>
      </c>
      <c r="M11" s="134">
        <v>6259961</v>
      </c>
      <c r="N11" s="67">
        <f t="shared" si="9"/>
        <v>8.5536243954490512E-2</v>
      </c>
      <c r="O11" s="278">
        <f t="shared" si="7"/>
        <v>1.8079309747292417E-2</v>
      </c>
    </row>
    <row r="12" spans="1:15">
      <c r="A12" s="120" t="s">
        <v>80</v>
      </c>
      <c r="B12" s="136">
        <v>2659531</v>
      </c>
      <c r="C12" s="229">
        <f t="shared" si="0"/>
        <v>4.0728407015020465E-2</v>
      </c>
      <c r="D12" s="278">
        <f t="shared" si="1"/>
        <v>9.3780845586938881E-3</v>
      </c>
      <c r="E12" s="136">
        <v>3705609</v>
      </c>
      <c r="F12" s="67">
        <f t="shared" si="8"/>
        <v>5.3841733245921515E-2</v>
      </c>
      <c r="G12" s="278">
        <f t="shared" si="2"/>
        <v>1.1951649733913884E-2</v>
      </c>
      <c r="H12" s="247">
        <f t="shared" si="3"/>
        <v>1046078</v>
      </c>
      <c r="I12" s="309">
        <f t="shared" si="4"/>
        <v>39.333175661423013</v>
      </c>
      <c r="J12" s="136">
        <v>4668506</v>
      </c>
      <c r="K12" s="67">
        <f t="shared" si="5"/>
        <v>6.5572142754390897E-2</v>
      </c>
      <c r="L12" s="278">
        <f t="shared" si="6"/>
        <v>1.4227611007832262E-2</v>
      </c>
      <c r="M12" s="136">
        <v>1000478</v>
      </c>
      <c r="N12" s="67">
        <f t="shared" si="9"/>
        <v>1.3670553263686588E-2</v>
      </c>
      <c r="O12" s="278">
        <f t="shared" si="7"/>
        <v>2.8894671480144403E-3</v>
      </c>
    </row>
    <row r="13" spans="1:15">
      <c r="A13" s="311" t="s">
        <v>43</v>
      </c>
      <c r="B13" s="312">
        <v>0</v>
      </c>
      <c r="C13" s="226">
        <f t="shared" si="0"/>
        <v>0</v>
      </c>
      <c r="D13" s="278">
        <f t="shared" si="1"/>
        <v>0</v>
      </c>
      <c r="E13" s="312">
        <v>52358</v>
      </c>
      <c r="F13" s="226">
        <f t="shared" si="8"/>
        <v>7.6075092361065576E-4</v>
      </c>
      <c r="G13" s="278">
        <f t="shared" si="2"/>
        <v>1.6886953717142397E-4</v>
      </c>
      <c r="H13" s="247">
        <f t="shared" si="3"/>
        <v>52358</v>
      </c>
      <c r="I13" s="298" t="s">
        <v>137</v>
      </c>
      <c r="J13" s="312">
        <v>43781</v>
      </c>
      <c r="K13" s="226">
        <f t="shared" si="5"/>
        <v>6.1493205362271955E-4</v>
      </c>
      <c r="L13" s="278">
        <f t="shared" si="6"/>
        <v>1.3342577636912199E-4</v>
      </c>
      <c r="M13" s="312"/>
      <c r="N13" s="226">
        <f t="shared" si="9"/>
        <v>0</v>
      </c>
      <c r="O13" s="278">
        <f t="shared" si="7"/>
        <v>0</v>
      </c>
    </row>
    <row r="14" spans="1:15">
      <c r="A14" s="137" t="s">
        <v>85</v>
      </c>
      <c r="B14" s="132">
        <f>B15</f>
        <v>5839466</v>
      </c>
      <c r="C14" s="231">
        <f t="shared" si="0"/>
        <v>8.9426349231640279E-2</v>
      </c>
      <c r="D14" s="278">
        <f t="shared" si="1"/>
        <v>2.0591226771042699E-2</v>
      </c>
      <c r="E14" s="132">
        <v>6204267</v>
      </c>
      <c r="F14" s="62">
        <f t="shared" si="8"/>
        <v>9.0146717800090009E-2</v>
      </c>
      <c r="G14" s="278">
        <f t="shared" si="2"/>
        <v>2.0010537010159653E-2</v>
      </c>
      <c r="H14" s="247">
        <f t="shared" si="3"/>
        <v>364801</v>
      </c>
      <c r="I14" s="309">
        <f t="shared" si="4"/>
        <v>6.2471636961325032</v>
      </c>
      <c r="J14" s="132">
        <v>6380325</v>
      </c>
      <c r="K14" s="62">
        <f t="shared" si="5"/>
        <v>8.9615731825001196E-2</v>
      </c>
      <c r="L14" s="278">
        <f t="shared" si="6"/>
        <v>1.9444503702800719E-2</v>
      </c>
      <c r="M14" s="132">
        <v>6380325</v>
      </c>
      <c r="N14" s="62">
        <f t="shared" si="9"/>
        <v>8.7180900281796425E-2</v>
      </c>
      <c r="O14" s="278">
        <f t="shared" si="7"/>
        <v>1.8426931407942236E-2</v>
      </c>
    </row>
    <row r="15" spans="1:15">
      <c r="A15" s="115" t="s">
        <v>79</v>
      </c>
      <c r="B15" s="134">
        <v>5839466</v>
      </c>
      <c r="C15" s="242">
        <f t="shared" si="0"/>
        <v>8.9426349231640279E-2</v>
      </c>
      <c r="D15" s="278">
        <f t="shared" si="1"/>
        <v>2.0591226771042699E-2</v>
      </c>
      <c r="E15" s="134">
        <v>6204267</v>
      </c>
      <c r="F15" s="67">
        <f t="shared" si="8"/>
        <v>9.0146717800090009E-2</v>
      </c>
      <c r="G15" s="278">
        <f t="shared" si="2"/>
        <v>2.0010537010159653E-2</v>
      </c>
      <c r="H15" s="247">
        <f t="shared" si="3"/>
        <v>364801</v>
      </c>
      <c r="I15" s="309">
        <f t="shared" si="4"/>
        <v>6.2471636961325032</v>
      </c>
      <c r="J15" s="134">
        <v>6380325</v>
      </c>
      <c r="K15" s="67">
        <f t="shared" si="5"/>
        <v>8.9615731825001196E-2</v>
      </c>
      <c r="L15" s="278">
        <f t="shared" si="6"/>
        <v>1.9444503702800719E-2</v>
      </c>
      <c r="M15" s="134">
        <v>6380325</v>
      </c>
      <c r="N15" s="67">
        <f t="shared" si="9"/>
        <v>8.7180900281796425E-2</v>
      </c>
      <c r="O15" s="278">
        <f t="shared" si="7"/>
        <v>1.8426931407942236E-2</v>
      </c>
    </row>
    <row r="16" spans="1:15">
      <c r="A16" s="138" t="s">
        <v>86</v>
      </c>
      <c r="B16" s="132">
        <f>B17</f>
        <v>1493307</v>
      </c>
      <c r="C16" s="218">
        <f t="shared" si="0"/>
        <v>2.2868699516711468E-2</v>
      </c>
      <c r="D16" s="278">
        <f t="shared" si="1"/>
        <v>5.2657251666137729E-3</v>
      </c>
      <c r="E16" s="132">
        <v>1541027</v>
      </c>
      <c r="F16" s="67">
        <f t="shared" si="8"/>
        <v>2.239080395658654E-2</v>
      </c>
      <c r="G16" s="278">
        <f t="shared" si="2"/>
        <v>4.9702531849701659E-3</v>
      </c>
      <c r="H16" s="247">
        <f t="shared" si="3"/>
        <v>47720</v>
      </c>
      <c r="I16" s="309">
        <f t="shared" si="4"/>
        <v>3.1955920651279399</v>
      </c>
      <c r="J16" s="132">
        <v>1498479</v>
      </c>
      <c r="K16" s="67">
        <f t="shared" si="5"/>
        <v>2.1047092774959895E-2</v>
      </c>
      <c r="L16" s="278">
        <f t="shared" si="6"/>
        <v>4.5667235546886908E-3</v>
      </c>
      <c r="M16" s="132">
        <v>1492048</v>
      </c>
      <c r="N16" s="67">
        <f t="shared" si="9"/>
        <v>2.0387376490014819E-2</v>
      </c>
      <c r="O16" s="278">
        <f t="shared" si="7"/>
        <v>4.3091638989169673E-3</v>
      </c>
    </row>
    <row r="17" spans="1:15">
      <c r="A17" s="115" t="s">
        <v>79</v>
      </c>
      <c r="B17" s="134">
        <v>1493307</v>
      </c>
      <c r="C17" s="242">
        <f t="shared" si="0"/>
        <v>2.2868699516711468E-2</v>
      </c>
      <c r="D17" s="278">
        <f t="shared" si="1"/>
        <v>5.2657251666137729E-3</v>
      </c>
      <c r="E17" s="134">
        <v>1541027</v>
      </c>
      <c r="F17" s="62">
        <f t="shared" si="8"/>
        <v>2.239080395658654E-2</v>
      </c>
      <c r="G17" s="278">
        <f t="shared" si="2"/>
        <v>4.9702531849701659E-3</v>
      </c>
      <c r="H17" s="247">
        <f t="shared" si="3"/>
        <v>47720</v>
      </c>
      <c r="I17" s="309">
        <f t="shared" si="4"/>
        <v>3.1955920651279399</v>
      </c>
      <c r="J17" s="134">
        <v>1498479</v>
      </c>
      <c r="K17" s="62">
        <f t="shared" si="5"/>
        <v>2.1047092774959895E-2</v>
      </c>
      <c r="L17" s="278">
        <f t="shared" si="6"/>
        <v>4.5667235546886908E-3</v>
      </c>
      <c r="M17" s="134">
        <v>1492048</v>
      </c>
      <c r="N17" s="62">
        <f t="shared" si="9"/>
        <v>2.0387376490014819E-2</v>
      </c>
      <c r="O17" s="278">
        <f t="shared" si="7"/>
        <v>4.3091638989169673E-3</v>
      </c>
    </row>
    <row r="18" spans="1:15" hidden="1">
      <c r="A18" s="120" t="s">
        <v>80</v>
      </c>
      <c r="B18" s="136"/>
      <c r="C18" s="237">
        <f t="shared" si="0"/>
        <v>0</v>
      </c>
      <c r="D18" s="278">
        <f t="shared" si="1"/>
        <v>0</v>
      </c>
      <c r="E18" s="136"/>
      <c r="F18" s="67">
        <f t="shared" si="8"/>
        <v>0</v>
      </c>
      <c r="G18" s="278">
        <f t="shared" si="2"/>
        <v>0</v>
      </c>
      <c r="H18" s="247">
        <f t="shared" si="3"/>
        <v>0</v>
      </c>
      <c r="I18" s="298" t="s">
        <v>137</v>
      </c>
      <c r="J18" s="136"/>
      <c r="K18" s="67">
        <f t="shared" si="5"/>
        <v>0</v>
      </c>
      <c r="L18" s="278">
        <f t="shared" si="6"/>
        <v>0</v>
      </c>
      <c r="M18" s="136"/>
      <c r="N18" s="67">
        <f t="shared" si="9"/>
        <v>0</v>
      </c>
      <c r="O18" s="278">
        <f t="shared" si="7"/>
        <v>0</v>
      </c>
    </row>
    <row r="19" spans="1:15">
      <c r="A19" s="135" t="s">
        <v>87</v>
      </c>
      <c r="B19" s="132">
        <f>B20+B21</f>
        <v>9310911</v>
      </c>
      <c r="C19" s="218">
        <f t="shared" si="0"/>
        <v>0.14258851387279609</v>
      </c>
      <c r="D19" s="278">
        <f t="shared" si="1"/>
        <v>3.2832296625409922E-2</v>
      </c>
      <c r="E19" s="132">
        <v>10672081</v>
      </c>
      <c r="F19" s="67">
        <f t="shared" si="8"/>
        <v>0.15506313223571816</v>
      </c>
      <c r="G19" s="278">
        <f t="shared" si="2"/>
        <v>3.4420516045799064E-2</v>
      </c>
      <c r="H19" s="247">
        <f t="shared" si="3"/>
        <v>1361170</v>
      </c>
      <c r="I19" s="309">
        <f t="shared" si="4"/>
        <v>14.619085071267463</v>
      </c>
      <c r="J19" s="132">
        <v>9650372</v>
      </c>
      <c r="K19" s="67">
        <f t="shared" si="5"/>
        <v>0.13554562646315046</v>
      </c>
      <c r="L19" s="278">
        <f t="shared" si="6"/>
        <v>2.9410209368238197E-2</v>
      </c>
      <c r="M19" s="132">
        <v>9317854</v>
      </c>
      <c r="N19" s="67">
        <f t="shared" si="9"/>
        <v>0.12731936075581385</v>
      </c>
      <c r="O19" s="278">
        <f t="shared" si="7"/>
        <v>2.6910769675090252E-2</v>
      </c>
    </row>
    <row r="20" spans="1:15">
      <c r="A20" s="115" t="s">
        <v>79</v>
      </c>
      <c r="B20" s="134">
        <v>1265173</v>
      </c>
      <c r="C20" s="242">
        <f t="shared" si="0"/>
        <v>1.9375025479460285E-2</v>
      </c>
      <c r="D20" s="278">
        <f t="shared" si="1"/>
        <v>4.4612750802214465E-3</v>
      </c>
      <c r="E20" s="134">
        <v>2682661</v>
      </c>
      <c r="F20" s="62">
        <f t="shared" si="8"/>
        <v>3.8978510131866873E-2</v>
      </c>
      <c r="G20" s="278">
        <f t="shared" si="2"/>
        <v>8.6523496210288656E-3</v>
      </c>
      <c r="H20" s="247">
        <f t="shared" si="3"/>
        <v>1417488</v>
      </c>
      <c r="I20" s="309">
        <f t="shared" si="4"/>
        <v>112.03906501324323</v>
      </c>
      <c r="J20" s="134">
        <v>1523915</v>
      </c>
      <c r="K20" s="62">
        <f t="shared" si="5"/>
        <v>2.1404357609384587E-2</v>
      </c>
      <c r="L20" s="278">
        <f t="shared" si="6"/>
        <v>4.6442416115563953E-3</v>
      </c>
      <c r="M20" s="134">
        <v>1123915</v>
      </c>
      <c r="N20" s="62">
        <f t="shared" si="9"/>
        <v>1.5357199130172089E-2</v>
      </c>
      <c r="O20" s="278">
        <f t="shared" si="7"/>
        <v>3.2459638989169679E-3</v>
      </c>
    </row>
    <row r="21" spans="1:15">
      <c r="A21" s="120" t="s">
        <v>80</v>
      </c>
      <c r="B21" s="136">
        <v>8045738</v>
      </c>
      <c r="C21" s="229">
        <f t="shared" si="0"/>
        <v>0.12321348839333579</v>
      </c>
      <c r="D21" s="278">
        <f t="shared" si="1"/>
        <v>2.8371021545188481E-2</v>
      </c>
      <c r="E21" s="136">
        <v>7989420</v>
      </c>
      <c r="F21" s="67">
        <f t="shared" si="8"/>
        <v>0.11608462210385129</v>
      </c>
      <c r="G21" s="278">
        <f t="shared" si="2"/>
        <v>2.5768166424770197E-2</v>
      </c>
      <c r="H21" s="247">
        <f t="shared" si="3"/>
        <v>-56318</v>
      </c>
      <c r="I21" s="309">
        <f t="shared" si="4"/>
        <v>-0.69997307891456728</v>
      </c>
      <c r="J21" s="136">
        <v>8126457</v>
      </c>
      <c r="K21" s="67">
        <f t="shared" si="5"/>
        <v>0.11414126885376588</v>
      </c>
      <c r="L21" s="278">
        <f t="shared" si="6"/>
        <v>2.4765967756681804E-2</v>
      </c>
      <c r="M21" s="136">
        <v>8193939</v>
      </c>
      <c r="N21" s="67">
        <f t="shared" si="9"/>
        <v>0.11196216162564175</v>
      </c>
      <c r="O21" s="278">
        <f t="shared" si="7"/>
        <v>2.3664805776173286E-2</v>
      </c>
    </row>
    <row r="22" spans="1:15" ht="25.5" hidden="1">
      <c r="A22" s="313" t="s">
        <v>44</v>
      </c>
      <c r="B22" s="290">
        <v>0</v>
      </c>
      <c r="C22" s="237">
        <f t="shared" si="0"/>
        <v>0</v>
      </c>
      <c r="D22" s="278">
        <f t="shared" si="1"/>
        <v>0</v>
      </c>
      <c r="E22" s="290"/>
      <c r="F22" s="67">
        <f t="shared" si="8"/>
        <v>0</v>
      </c>
      <c r="G22" s="278">
        <f t="shared" si="2"/>
        <v>0</v>
      </c>
      <c r="H22" s="247">
        <f t="shared" si="3"/>
        <v>0</v>
      </c>
      <c r="I22" s="298" t="s">
        <v>137</v>
      </c>
      <c r="J22" s="290"/>
      <c r="K22" s="67">
        <f t="shared" si="5"/>
        <v>0</v>
      </c>
      <c r="L22" s="278">
        <f t="shared" si="6"/>
        <v>0</v>
      </c>
      <c r="M22" s="290"/>
      <c r="N22" s="67">
        <f t="shared" si="9"/>
        <v>0</v>
      </c>
      <c r="O22" s="278">
        <f t="shared" si="7"/>
        <v>0</v>
      </c>
    </row>
    <row r="23" spans="1:15">
      <c r="A23" s="135" t="s">
        <v>88</v>
      </c>
      <c r="B23" s="132">
        <f>B24</f>
        <v>5402910</v>
      </c>
      <c r="C23" s="62">
        <f t="shared" si="0"/>
        <v>8.2740873313950539E-2</v>
      </c>
      <c r="D23" s="278">
        <f t="shared" si="1"/>
        <v>1.9051835396170527E-2</v>
      </c>
      <c r="E23" s="132">
        <v>5522165</v>
      </c>
      <c r="F23" s="62">
        <f t="shared" si="8"/>
        <v>8.0235916652286896E-2</v>
      </c>
      <c r="G23" s="278">
        <f t="shared" si="2"/>
        <v>1.7810562812449603E-2</v>
      </c>
      <c r="H23" s="247">
        <f t="shared" si="3"/>
        <v>119255</v>
      </c>
      <c r="I23" s="309">
        <f t="shared" si="4"/>
        <v>2.207236470716694</v>
      </c>
      <c r="J23" s="132">
        <v>5460630</v>
      </c>
      <c r="K23" s="62">
        <f t="shared" si="5"/>
        <v>7.6698029281510954E-2</v>
      </c>
      <c r="L23" s="278">
        <f t="shared" si="6"/>
        <v>1.6641666412702281E-2</v>
      </c>
      <c r="M23" s="132">
        <v>5460630</v>
      </c>
      <c r="N23" s="62">
        <f t="shared" si="9"/>
        <v>7.4614167696126138E-2</v>
      </c>
      <c r="O23" s="278">
        <f t="shared" si="7"/>
        <v>1.5770772563176896E-2</v>
      </c>
    </row>
    <row r="24" spans="1:15">
      <c r="A24" s="115" t="s">
        <v>79</v>
      </c>
      <c r="B24" s="134">
        <v>5402910</v>
      </c>
      <c r="C24" s="242">
        <f t="shared" si="0"/>
        <v>8.2740873313950539E-2</v>
      </c>
      <c r="D24" s="278">
        <f t="shared" si="1"/>
        <v>1.9051835396170527E-2</v>
      </c>
      <c r="E24" s="134">
        <v>5522165</v>
      </c>
      <c r="F24" s="67">
        <f t="shared" si="8"/>
        <v>8.0235916652286896E-2</v>
      </c>
      <c r="G24" s="278">
        <f t="shared" si="2"/>
        <v>1.7810562812449603E-2</v>
      </c>
      <c r="H24" s="247">
        <f t="shared" si="3"/>
        <v>119255</v>
      </c>
      <c r="I24" s="309">
        <f t="shared" si="4"/>
        <v>2.207236470716694</v>
      </c>
      <c r="J24" s="134">
        <v>5460630</v>
      </c>
      <c r="K24" s="67">
        <f t="shared" si="5"/>
        <v>7.6698029281510954E-2</v>
      </c>
      <c r="L24" s="278">
        <f t="shared" si="6"/>
        <v>1.6641666412702281E-2</v>
      </c>
      <c r="M24" s="134">
        <v>5460630</v>
      </c>
      <c r="N24" s="67">
        <f t="shared" si="9"/>
        <v>7.4614167696126138E-2</v>
      </c>
      <c r="O24" s="278">
        <f t="shared" si="7"/>
        <v>1.5770772563176896E-2</v>
      </c>
    </row>
    <row r="25" spans="1:15">
      <c r="A25" s="139" t="s">
        <v>89</v>
      </c>
      <c r="B25" s="132">
        <f>B26+B29</f>
        <v>576341793</v>
      </c>
      <c r="C25" s="67">
        <f t="shared" si="0"/>
        <v>8.8261739100129581</v>
      </c>
      <c r="D25" s="278">
        <f t="shared" si="1"/>
        <v>2.0323064741351948</v>
      </c>
      <c r="E25" s="132">
        <v>636645418</v>
      </c>
      <c r="F25" s="67">
        <f t="shared" si="8"/>
        <v>9.250326402001452</v>
      </c>
      <c r="G25" s="278">
        <f t="shared" si="2"/>
        <v>2.0533637090791803</v>
      </c>
      <c r="H25" s="247">
        <f t="shared" si="3"/>
        <v>60303625</v>
      </c>
      <c r="I25" s="309">
        <f t="shared" si="4"/>
        <v>10.463170592940145</v>
      </c>
      <c r="J25" s="132">
        <v>653036225</v>
      </c>
      <c r="K25" s="67">
        <f t="shared" si="5"/>
        <v>9.1723100643950186</v>
      </c>
      <c r="L25" s="278">
        <f t="shared" si="6"/>
        <v>1.9901753116142993</v>
      </c>
      <c r="M25" s="132">
        <v>688596225</v>
      </c>
      <c r="N25" s="67">
        <f t="shared" si="9"/>
        <v>9.4089938719652135</v>
      </c>
      <c r="O25" s="278">
        <f t="shared" si="7"/>
        <v>1.9887255595667868</v>
      </c>
    </row>
    <row r="26" spans="1:15">
      <c r="A26" s="115" t="s">
        <v>79</v>
      </c>
      <c r="B26" s="134">
        <v>568092000</v>
      </c>
      <c r="C26" s="243">
        <f t="shared" si="0"/>
        <v>8.6998354965507101</v>
      </c>
      <c r="D26" s="278">
        <f t="shared" si="1"/>
        <v>2.0032159102930285</v>
      </c>
      <c r="E26" s="134">
        <v>626704816</v>
      </c>
      <c r="F26" s="62">
        <f t="shared" si="8"/>
        <v>9.1058915085229781</v>
      </c>
      <c r="G26" s="278">
        <f t="shared" si="2"/>
        <v>2.0213024221899691</v>
      </c>
      <c r="H26" s="247">
        <f t="shared" si="3"/>
        <v>58612816</v>
      </c>
      <c r="I26" s="309">
        <f t="shared" si="4"/>
        <v>10.317486604282394</v>
      </c>
      <c r="J26" s="134">
        <v>652531229</v>
      </c>
      <c r="K26" s="62">
        <f t="shared" si="5"/>
        <v>9.1652170736604237</v>
      </c>
      <c r="L26" s="278">
        <f t="shared" si="6"/>
        <v>1.9886362996373388</v>
      </c>
      <c r="M26" s="134">
        <v>688591229</v>
      </c>
      <c r="N26" s="62">
        <f t="shared" si="9"/>
        <v>9.4089256065119962</v>
      </c>
      <c r="O26" s="278">
        <f t="shared" si="7"/>
        <v>1.9887111306859206</v>
      </c>
    </row>
    <row r="27" spans="1:15">
      <c r="A27" s="310" t="s">
        <v>12</v>
      </c>
      <c r="B27" s="228">
        <v>1341</v>
      </c>
      <c r="C27" s="232">
        <f t="shared" si="0"/>
        <v>2.0536250115957454E-5</v>
      </c>
      <c r="D27" s="278">
        <f t="shared" si="1"/>
        <v>4.7286575690257065E-6</v>
      </c>
      <c r="E27" s="228">
        <v>8040</v>
      </c>
      <c r="F27" s="67">
        <f t="shared" si="8"/>
        <v>1.1681953905477047E-4</v>
      </c>
      <c r="G27" s="278">
        <f t="shared" si="2"/>
        <v>2.5931301402999516E-5</v>
      </c>
      <c r="H27" s="247">
        <f>E27-B27</f>
        <v>6699</v>
      </c>
      <c r="I27" s="309">
        <f t="shared" si="4"/>
        <v>499.55257270693517</v>
      </c>
      <c r="J27" s="228">
        <v>8040</v>
      </c>
      <c r="K27" s="67">
        <f t="shared" si="5"/>
        <v>1.1292692517591341E-4</v>
      </c>
      <c r="L27" s="278">
        <f t="shared" si="6"/>
        <v>2.4502483771675856E-5</v>
      </c>
      <c r="M27" s="228">
        <v>8040</v>
      </c>
      <c r="N27" s="67"/>
      <c r="O27" s="278">
        <f t="shared" si="7"/>
        <v>2.3220216606498195E-5</v>
      </c>
    </row>
    <row r="28" spans="1:15">
      <c r="A28" s="311" t="s">
        <v>43</v>
      </c>
      <c r="B28" s="312">
        <v>632760</v>
      </c>
      <c r="C28" s="226">
        <f t="shared" si="0"/>
        <v>9.6901697415162098E-3</v>
      </c>
      <c r="D28" s="278">
        <f t="shared" si="1"/>
        <v>2.2312493388342322E-3</v>
      </c>
      <c r="E28" s="312">
        <v>3026765</v>
      </c>
      <c r="F28" s="226">
        <f t="shared" si="8"/>
        <v>4.3978270165063726E-2</v>
      </c>
      <c r="G28" s="278">
        <f t="shared" si="2"/>
        <v>9.7621835187872916E-3</v>
      </c>
      <c r="H28" s="247">
        <f t="shared" si="3"/>
        <v>2394005</v>
      </c>
      <c r="I28" s="309">
        <f t="shared" si="4"/>
        <v>378.34328971489981</v>
      </c>
      <c r="J28" s="312">
        <v>184372</v>
      </c>
      <c r="K28" s="226">
        <f t="shared" si="5"/>
        <v>2.5896222697180979E-3</v>
      </c>
      <c r="L28" s="278">
        <f t="shared" si="6"/>
        <v>5.6188705695913203E-4</v>
      </c>
      <c r="M28" s="312">
        <v>184372</v>
      </c>
      <c r="N28" s="226">
        <f>M28/$M$138*100</f>
        <v>2.5192630385999725E-3</v>
      </c>
      <c r="O28" s="278">
        <f t="shared" si="7"/>
        <v>5.3248231046931413E-4</v>
      </c>
    </row>
    <row r="29" spans="1:15">
      <c r="A29" s="120" t="s">
        <v>80</v>
      </c>
      <c r="B29" s="136">
        <v>8249793</v>
      </c>
      <c r="C29" s="229"/>
      <c r="D29" s="278">
        <f t="shared" si="1"/>
        <v>2.909056384216651E-2</v>
      </c>
      <c r="E29" s="136">
        <v>9940602</v>
      </c>
      <c r="F29" s="67">
        <f t="shared" si="8"/>
        <v>0.14443489347847382</v>
      </c>
      <c r="G29" s="278">
        <f t="shared" si="2"/>
        <v>3.2061286889211421E-2</v>
      </c>
      <c r="H29" s="247">
        <f t="shared" si="3"/>
        <v>1690809</v>
      </c>
      <c r="I29" s="309">
        <f t="shared" si="4"/>
        <v>20.495168787871407</v>
      </c>
      <c r="J29" s="136">
        <v>504996</v>
      </c>
      <c r="K29" s="67">
        <f t="shared" si="5"/>
        <v>7.0929907345939755E-3</v>
      </c>
      <c r="L29" s="278">
        <f t="shared" si="6"/>
        <v>1.539011976960351E-3</v>
      </c>
      <c r="M29" s="136">
        <v>4996</v>
      </c>
      <c r="N29" s="67"/>
      <c r="O29" s="278">
        <f t="shared" si="7"/>
        <v>1.4428880866425991E-5</v>
      </c>
    </row>
    <row r="30" spans="1:15" ht="26.25">
      <c r="A30" s="122" t="s">
        <v>44</v>
      </c>
      <c r="B30" s="136"/>
      <c r="C30" s="237">
        <f>B30/$B$138*100</f>
        <v>0</v>
      </c>
      <c r="D30" s="278">
        <f t="shared" si="1"/>
        <v>0</v>
      </c>
      <c r="E30" s="136">
        <v>2860712</v>
      </c>
      <c r="F30" s="67">
        <f t="shared" si="8"/>
        <v>4.156555437916052E-2</v>
      </c>
      <c r="G30" s="278">
        <f t="shared" si="2"/>
        <v>9.2266150620867616E-3</v>
      </c>
      <c r="H30" s="247">
        <f>E30-B30</f>
        <v>2860712</v>
      </c>
      <c r="I30" s="298" t="s">
        <v>137</v>
      </c>
      <c r="J30" s="136"/>
      <c r="K30" s="67">
        <f t="shared" si="5"/>
        <v>0</v>
      </c>
      <c r="L30" s="278">
        <f t="shared" si="6"/>
        <v>0</v>
      </c>
      <c r="M30" s="136"/>
      <c r="N30" s="67">
        <f>M30/$M$138*100</f>
        <v>0</v>
      </c>
      <c r="O30" s="278">
        <f t="shared" si="7"/>
        <v>0</v>
      </c>
    </row>
    <row r="31" spans="1:15">
      <c r="A31" s="139" t="s">
        <v>90</v>
      </c>
      <c r="B31" s="132">
        <f>B32+B35</f>
        <v>67059830</v>
      </c>
      <c r="C31" s="62">
        <f>B31/$B$138*100</f>
        <v>1.0269630437088644</v>
      </c>
      <c r="D31" s="278">
        <f t="shared" si="1"/>
        <v>0.23646754116858848</v>
      </c>
      <c r="E31" s="132">
        <v>65640486</v>
      </c>
      <c r="F31" s="62">
        <f t="shared" si="8"/>
        <v>0.95374270122526306</v>
      </c>
      <c r="G31" s="278">
        <f t="shared" si="2"/>
        <v>0.21170935655539427</v>
      </c>
      <c r="H31" s="247">
        <f t="shared" si="3"/>
        <v>-1419344</v>
      </c>
      <c r="I31" s="309">
        <f t="shared" si="4"/>
        <v>-2.1165338474612838</v>
      </c>
      <c r="J31" s="132">
        <v>64118386</v>
      </c>
      <c r="K31" s="62">
        <f t="shared" si="5"/>
        <v>0.90058360425650918</v>
      </c>
      <c r="L31" s="278">
        <f t="shared" si="6"/>
        <v>0.19540543686953341</v>
      </c>
      <c r="M31" s="132">
        <v>63825740</v>
      </c>
      <c r="N31" s="62">
        <f>M31/$M$138*100</f>
        <v>0.87211630666962359</v>
      </c>
      <c r="O31" s="278">
        <f t="shared" si="7"/>
        <v>0.18433426714801446</v>
      </c>
    </row>
    <row r="32" spans="1:15">
      <c r="A32" s="115" t="s">
        <v>79</v>
      </c>
      <c r="B32" s="134">
        <f>66021009+1158</f>
        <v>66022167</v>
      </c>
      <c r="C32" s="242">
        <f>B32/$B$138*100</f>
        <v>1.0110721362487041</v>
      </c>
      <c r="D32" s="278">
        <f t="shared" si="1"/>
        <v>0.23280851581508516</v>
      </c>
      <c r="E32" s="134">
        <v>64395316</v>
      </c>
      <c r="F32" s="67">
        <f t="shared" si="8"/>
        <v>0.93565063835899087</v>
      </c>
      <c r="G32" s="278">
        <f t="shared" si="2"/>
        <v>0.20769332688276085</v>
      </c>
      <c r="H32" s="247">
        <f t="shared" si="3"/>
        <v>-1626851</v>
      </c>
      <c r="I32" s="309">
        <f t="shared" si="4"/>
        <v>-2.4640981566085145</v>
      </c>
      <c r="J32" s="134">
        <v>63158859</v>
      </c>
      <c r="K32" s="67">
        <f t="shared" si="5"/>
        <v>0.88710643588172444</v>
      </c>
      <c r="L32" s="278">
        <f t="shared" si="6"/>
        <v>0.19248120866729648</v>
      </c>
      <c r="M32" s="134">
        <v>62866213</v>
      </c>
      <c r="N32" s="67">
        <f>M32/$M$138*100</f>
        <v>0.85900530876517645</v>
      </c>
      <c r="O32" s="278">
        <f t="shared" si="7"/>
        <v>0.18156307003610109</v>
      </c>
    </row>
    <row r="33" spans="1:15">
      <c r="A33" s="142" t="s">
        <v>12</v>
      </c>
      <c r="B33" s="228">
        <v>12527</v>
      </c>
      <c r="C33" s="232">
        <f>B33/$B$138*100</f>
        <v>1.9184012319358614E-4</v>
      </c>
      <c r="D33" s="278">
        <f t="shared" si="1"/>
        <v>4.4172925702598821E-5</v>
      </c>
      <c r="E33" s="228">
        <v>16781</v>
      </c>
      <c r="F33" s="67">
        <f t="shared" si="8"/>
        <v>2.4382446329329643E-4</v>
      </c>
      <c r="G33" s="278">
        <f t="shared" si="2"/>
        <v>5.4123528463151098E-5</v>
      </c>
      <c r="H33" s="247">
        <f t="shared" si="3"/>
        <v>4254</v>
      </c>
      <c r="I33" s="309">
        <f t="shared" si="4"/>
        <v>33.958649317474254</v>
      </c>
      <c r="J33" s="228">
        <v>16781</v>
      </c>
      <c r="K33" s="67">
        <f t="shared" si="5"/>
        <v>2.3569984221107E-4</v>
      </c>
      <c r="L33" s="278">
        <f t="shared" si="6"/>
        <v>5.1141315941852321E-5</v>
      </c>
      <c r="M33" s="228">
        <v>16781</v>
      </c>
      <c r="N33" s="67">
        <f>M33/$M$138*100</f>
        <v>2.2929595085341669E-4</v>
      </c>
      <c r="O33" s="278">
        <f t="shared" si="7"/>
        <v>4.8464981949458481E-5</v>
      </c>
    </row>
    <row r="34" spans="1:15" ht="15.75" hidden="1" customHeight="1">
      <c r="A34" s="311" t="s">
        <v>43</v>
      </c>
      <c r="B34" s="300"/>
      <c r="C34" s="232"/>
      <c r="D34" s="278">
        <f t="shared" si="1"/>
        <v>0</v>
      </c>
      <c r="E34" s="300"/>
      <c r="F34" s="67">
        <f t="shared" si="8"/>
        <v>0</v>
      </c>
      <c r="G34" s="278">
        <f t="shared" si="2"/>
        <v>0</v>
      </c>
      <c r="H34" s="247">
        <f t="shared" si="3"/>
        <v>0</v>
      </c>
      <c r="I34" s="298" t="s">
        <v>137</v>
      </c>
      <c r="J34" s="300"/>
      <c r="K34" s="67">
        <f t="shared" si="5"/>
        <v>0</v>
      </c>
      <c r="L34" s="278">
        <f t="shared" si="6"/>
        <v>0</v>
      </c>
      <c r="M34" s="300"/>
      <c r="N34" s="67"/>
      <c r="O34" s="278">
        <f t="shared" si="7"/>
        <v>0</v>
      </c>
    </row>
    <row r="35" spans="1:15">
      <c r="A35" s="120" t="s">
        <v>80</v>
      </c>
      <c r="B35" s="136">
        <v>1037663</v>
      </c>
      <c r="C35" s="229">
        <f>B35/$B$138*100</f>
        <v>1.5890907460160149E-2</v>
      </c>
      <c r="D35" s="278">
        <f t="shared" si="1"/>
        <v>3.6590253535032967E-3</v>
      </c>
      <c r="E35" s="136">
        <v>1245170</v>
      </c>
      <c r="F35" s="67">
        <f t="shared" si="8"/>
        <v>1.8092062866272209E-2</v>
      </c>
      <c r="G35" s="278">
        <f t="shared" si="2"/>
        <v>4.0160296726334463E-3</v>
      </c>
      <c r="H35" s="247">
        <f t="shared" si="3"/>
        <v>207507</v>
      </c>
      <c r="I35" s="309">
        <f t="shared" si="4"/>
        <v>19.997532917719909</v>
      </c>
      <c r="J35" s="136">
        <v>959527</v>
      </c>
      <c r="K35" s="67">
        <f t="shared" si="5"/>
        <v>1.3477168374784659E-2</v>
      </c>
      <c r="L35" s="278">
        <f t="shared" si="6"/>
        <v>2.9242282022369183E-3</v>
      </c>
      <c r="M35" s="136">
        <v>959527</v>
      </c>
      <c r="N35" s="67">
        <f>M35/$M$138*100</f>
        <v>1.3110997904447075E-2</v>
      </c>
      <c r="O35" s="278">
        <f t="shared" si="7"/>
        <v>2.7711971119133575E-3</v>
      </c>
    </row>
    <row r="36" spans="1:15">
      <c r="A36" s="311" t="s">
        <v>43</v>
      </c>
      <c r="B36" s="312">
        <v>802431</v>
      </c>
      <c r="C36" s="238">
        <f>B36/$B$138*100</f>
        <v>1.2288533718715777E-2</v>
      </c>
      <c r="D36" s="278">
        <f t="shared" si="1"/>
        <v>2.8295461758172007E-3</v>
      </c>
      <c r="E36" s="312">
        <v>802431</v>
      </c>
      <c r="F36" s="224">
        <f t="shared" si="8"/>
        <v>1.165915665960927E-2</v>
      </c>
      <c r="G36" s="278">
        <f t="shared" si="2"/>
        <v>2.5880696661828738E-3</v>
      </c>
      <c r="H36" s="247">
        <f>E36-B36</f>
        <v>0</v>
      </c>
      <c r="I36" s="309">
        <f t="shared" si="4"/>
        <v>0</v>
      </c>
      <c r="J36" s="312">
        <v>802431</v>
      </c>
      <c r="K36" s="224">
        <f t="shared" si="5"/>
        <v>1.1270654912417086E-2</v>
      </c>
      <c r="L36" s="278">
        <f t="shared" si="6"/>
        <v>2.4454667357449787E-3</v>
      </c>
      <c r="M36" s="312">
        <v>802431</v>
      </c>
      <c r="N36" s="224">
        <f>M36/$M$138*100</f>
        <v>1.09644347261342E-2</v>
      </c>
      <c r="O36" s="278">
        <f t="shared" si="7"/>
        <v>2.3174902527075812E-3</v>
      </c>
    </row>
    <row r="37" spans="1:15">
      <c r="A37" s="138" t="s">
        <v>91</v>
      </c>
      <c r="B37" s="132">
        <f>B38+B41</f>
        <v>183966614</v>
      </c>
      <c r="C37" s="67">
        <f>B37/$B$138*100</f>
        <v>2.81728888746443</v>
      </c>
      <c r="D37" s="278">
        <f t="shared" ref="D37:D68" si="10">B37/$B$155/1000000*100</f>
        <v>0.64870628019323673</v>
      </c>
      <c r="E37" s="132">
        <v>108382612</v>
      </c>
      <c r="F37" s="67">
        <f t="shared" si="8"/>
        <v>1.5747769621134371</v>
      </c>
      <c r="G37" s="278">
        <f t="shared" ref="G37:G68" si="11">E37/$E$155/1000000*100</f>
        <v>0.34956494758909856</v>
      </c>
      <c r="H37" s="247">
        <f t="shared" si="3"/>
        <v>-75584002</v>
      </c>
      <c r="I37" s="309">
        <f t="shared" si="4"/>
        <v>-41.085716781198137</v>
      </c>
      <c r="J37" s="132">
        <v>102025562</v>
      </c>
      <c r="K37" s="67">
        <f t="shared" ref="K37:K68" si="12">J37/$J$138*100</f>
        <v>1.4330140554731983</v>
      </c>
      <c r="L37" s="278">
        <f t="shared" ref="L37:L68" si="13">J37/$J$155/1000000*100</f>
        <v>0.31093030810959071</v>
      </c>
      <c r="M37" s="132">
        <v>75930435</v>
      </c>
      <c r="N37" s="67">
        <f>M37/$M$138*100</f>
        <v>1.0375151237732287</v>
      </c>
      <c r="O37" s="278">
        <f t="shared" ref="O37:O68" si="14">M37/$M$155/1000000*100</f>
        <v>0.21929367509025266</v>
      </c>
    </row>
    <row r="38" spans="1:15">
      <c r="A38" s="115" t="s">
        <v>79</v>
      </c>
      <c r="B38" s="134">
        <v>155963662</v>
      </c>
      <c r="C38" s="242">
        <f>B38/$B$138*100</f>
        <v>2.3884480028580528</v>
      </c>
      <c r="D38" s="278">
        <f t="shared" si="10"/>
        <v>0.54996178285553088</v>
      </c>
      <c r="E38" s="134">
        <v>84336632</v>
      </c>
      <c r="F38" s="67">
        <f t="shared" si="8"/>
        <v>1.2253938402576874</v>
      </c>
      <c r="G38" s="278">
        <f t="shared" si="11"/>
        <v>0.27200977906789225</v>
      </c>
      <c r="H38" s="247">
        <f t="shared" si="3"/>
        <v>-71627030</v>
      </c>
      <c r="I38" s="309">
        <f t="shared" si="4"/>
        <v>-45.925460508871609</v>
      </c>
      <c r="J38" s="134">
        <v>83277860</v>
      </c>
      <c r="K38" s="67">
        <f t="shared" si="12"/>
        <v>1.1696906299788796</v>
      </c>
      <c r="L38" s="278">
        <f t="shared" si="13"/>
        <v>0.25379532502361868</v>
      </c>
      <c r="M38" s="134">
        <v>62134630</v>
      </c>
      <c r="N38" s="67">
        <f>M38/$M$138*100</f>
        <v>0.84900894265986726</v>
      </c>
      <c r="O38" s="278">
        <f t="shared" si="14"/>
        <v>0.17945019494584838</v>
      </c>
    </row>
    <row r="39" spans="1:15">
      <c r="A39" s="142" t="s">
        <v>12</v>
      </c>
      <c r="B39" s="228">
        <v>6552</v>
      </c>
      <c r="C39" s="242"/>
      <c r="D39" s="278">
        <f t="shared" si="10"/>
        <v>2.3103776578863853E-5</v>
      </c>
      <c r="E39" s="228">
        <v>561</v>
      </c>
      <c r="F39" s="67">
        <f t="shared" si="8"/>
        <v>8.1512141056873442E-6</v>
      </c>
      <c r="G39" s="278">
        <f t="shared" si="11"/>
        <v>1.8093855829704886E-6</v>
      </c>
      <c r="H39" s="247">
        <f>E39-B39</f>
        <v>-5991</v>
      </c>
      <c r="I39" s="309">
        <f t="shared" si="4"/>
        <v>-91.437728937728934</v>
      </c>
      <c r="J39" s="228">
        <v>561</v>
      </c>
      <c r="K39" s="67">
        <f t="shared" si="12"/>
        <v>7.879602614886494E-6</v>
      </c>
      <c r="L39" s="278">
        <f t="shared" si="13"/>
        <v>1.7096882333221589E-6</v>
      </c>
      <c r="M39" s="228">
        <v>561</v>
      </c>
      <c r="N39" s="67"/>
      <c r="O39" s="278">
        <f t="shared" si="14"/>
        <v>1.620216606498195E-6</v>
      </c>
    </row>
    <row r="40" spans="1:15">
      <c r="A40" s="311" t="s">
        <v>43</v>
      </c>
      <c r="B40" s="312">
        <v>297003</v>
      </c>
      <c r="C40" s="238">
        <f t="shared" ref="C40:C71" si="15">B40/$B$138*100</f>
        <v>4.5483429479416197E-3</v>
      </c>
      <c r="D40" s="278">
        <f t="shared" si="10"/>
        <v>1.0472971543425368E-3</v>
      </c>
      <c r="E40" s="312">
        <v>1822959</v>
      </c>
      <c r="F40" s="224">
        <f t="shared" si="8"/>
        <v>2.6487217673600169E-2</v>
      </c>
      <c r="G40" s="278">
        <f t="shared" si="11"/>
        <v>5.8795645863570388E-3</v>
      </c>
      <c r="H40" s="247">
        <f t="shared" si="3"/>
        <v>1525956</v>
      </c>
      <c r="I40" s="309">
        <f t="shared" si="4"/>
        <v>513.78470924536123</v>
      </c>
      <c r="J40" s="312">
        <v>1739424</v>
      </c>
      <c r="K40" s="224">
        <f t="shared" si="12"/>
        <v>2.4431318892685076E-2</v>
      </c>
      <c r="L40" s="278">
        <f t="shared" si="13"/>
        <v>5.3010209368238199E-3</v>
      </c>
      <c r="M40" s="312">
        <v>233595</v>
      </c>
      <c r="N40" s="224">
        <f>M40/$M$138*100</f>
        <v>3.1918471866756379E-3</v>
      </c>
      <c r="O40" s="278">
        <f t="shared" si="14"/>
        <v>6.746425992779783E-4</v>
      </c>
    </row>
    <row r="41" spans="1:15">
      <c r="A41" s="120" t="s">
        <v>80</v>
      </c>
      <c r="B41" s="136">
        <v>28002952</v>
      </c>
      <c r="C41" s="229">
        <f t="shared" si="15"/>
        <v>0.42884088460637654</v>
      </c>
      <c r="D41" s="278">
        <f t="shared" si="10"/>
        <v>9.874449733770585E-2</v>
      </c>
      <c r="E41" s="136">
        <v>24045980</v>
      </c>
      <c r="F41" s="67">
        <f t="shared" ref="F41:F72" si="16">E41/$E$138*100</f>
        <v>0.34938312185574999</v>
      </c>
      <c r="G41" s="278">
        <f t="shared" si="11"/>
        <v>7.7555168521206266E-2</v>
      </c>
      <c r="H41" s="247">
        <f t="shared" si="3"/>
        <v>-3956972</v>
      </c>
      <c r="I41" s="309">
        <f t="shared" si="4"/>
        <v>-14.130553093116745</v>
      </c>
      <c r="J41" s="136">
        <v>18747702</v>
      </c>
      <c r="K41" s="67">
        <f t="shared" si="12"/>
        <v>0.2633234254943187</v>
      </c>
      <c r="L41" s="278">
        <f t="shared" si="13"/>
        <v>5.7134983085972021E-2</v>
      </c>
      <c r="M41" s="136">
        <v>13795805</v>
      </c>
      <c r="N41" s="67">
        <f>M41/$M$138*100</f>
        <v>0.18850618111336154</v>
      </c>
      <c r="O41" s="278">
        <f t="shared" si="14"/>
        <v>3.9843480144404329E-2</v>
      </c>
    </row>
    <row r="42" spans="1:15" ht="26.25">
      <c r="A42" s="122" t="s">
        <v>44</v>
      </c>
      <c r="B42" s="290">
        <v>186892</v>
      </c>
      <c r="C42" s="237">
        <f t="shared" si="15"/>
        <v>2.8620886328646683E-3</v>
      </c>
      <c r="D42" s="278">
        <f t="shared" si="10"/>
        <v>6.5902182728587043E-4</v>
      </c>
      <c r="E42" s="290">
        <v>285909</v>
      </c>
      <c r="F42" s="67">
        <f t="shared" si="16"/>
        <v>4.1541987054241752E-3</v>
      </c>
      <c r="G42" s="278">
        <f t="shared" si="11"/>
        <v>9.2213836477987425E-4</v>
      </c>
      <c r="H42" s="247">
        <f>E42-B42</f>
        <v>99017</v>
      </c>
      <c r="I42" s="309">
        <f t="shared" si="4"/>
        <v>52.980865954668985</v>
      </c>
      <c r="J42" s="290">
        <v>324508</v>
      </c>
      <c r="K42" s="67">
        <f t="shared" si="12"/>
        <v>4.557921720769317E-3</v>
      </c>
      <c r="L42" s="278">
        <f t="shared" si="13"/>
        <v>9.8896169201231226E-4</v>
      </c>
      <c r="M42" s="290">
        <v>148654</v>
      </c>
      <c r="N42" s="67">
        <f>M42/$M$138*100</f>
        <v>2.0312115057603128E-3</v>
      </c>
      <c r="O42" s="278">
        <f t="shared" si="14"/>
        <v>4.2932563176895311E-4</v>
      </c>
    </row>
    <row r="43" spans="1:15">
      <c r="A43" s="311" t="s">
        <v>43</v>
      </c>
      <c r="B43" s="141">
        <v>2500</v>
      </c>
      <c r="C43" s="237">
        <f t="shared" si="15"/>
        <v>3.828532832952545E-5</v>
      </c>
      <c r="D43" s="278">
        <f t="shared" si="10"/>
        <v>8.8155435664163052E-6</v>
      </c>
      <c r="E43" s="141"/>
      <c r="F43" s="67">
        <f t="shared" si="16"/>
        <v>0</v>
      </c>
      <c r="G43" s="278">
        <f t="shared" si="11"/>
        <v>0</v>
      </c>
      <c r="H43" s="247">
        <f>E43-B43</f>
        <v>-2500</v>
      </c>
      <c r="I43" s="309">
        <f t="shared" si="4"/>
        <v>-100</v>
      </c>
      <c r="J43" s="136"/>
      <c r="K43" s="67">
        <f t="shared" si="12"/>
        <v>0</v>
      </c>
      <c r="L43" s="278">
        <f t="shared" si="13"/>
        <v>0</v>
      </c>
      <c r="M43" s="136"/>
      <c r="N43" s="67"/>
      <c r="O43" s="278">
        <f t="shared" si="14"/>
        <v>0</v>
      </c>
    </row>
    <row r="44" spans="1:15">
      <c r="A44" s="135" t="s">
        <v>92</v>
      </c>
      <c r="B44" s="132">
        <f>B45+B49</f>
        <v>891520648</v>
      </c>
      <c r="C44" s="62">
        <f t="shared" si="15"/>
        <v>13.652864288492516</v>
      </c>
      <c r="D44" s="278">
        <f t="shared" si="10"/>
        <v>3.1436956451214781</v>
      </c>
      <c r="E44" s="132">
        <v>995927338</v>
      </c>
      <c r="F44" s="62">
        <f t="shared" si="16"/>
        <v>14.470618477264255</v>
      </c>
      <c r="G44" s="278">
        <f t="shared" si="11"/>
        <v>3.2121507434284791</v>
      </c>
      <c r="H44" s="247">
        <f t="shared" si="3"/>
        <v>104406690</v>
      </c>
      <c r="I44" s="309">
        <f t="shared" si="4"/>
        <v>11.711079292916168</v>
      </c>
      <c r="J44" s="132">
        <v>972916919</v>
      </c>
      <c r="K44" s="62">
        <f t="shared" si="12"/>
        <v>13.665238322673284</v>
      </c>
      <c r="L44" s="278">
        <f t="shared" si="13"/>
        <v>2.965034952610246</v>
      </c>
      <c r="M44" s="132">
        <v>906250159</v>
      </c>
      <c r="N44" s="62">
        <f>M44/$M$138*100</f>
        <v>12.383021984325431</v>
      </c>
      <c r="O44" s="278">
        <f t="shared" si="14"/>
        <v>2.6173289790613721</v>
      </c>
    </row>
    <row r="45" spans="1:15">
      <c r="A45" s="115" t="s">
        <v>79</v>
      </c>
      <c r="B45" s="134">
        <v>688240891</v>
      </c>
      <c r="C45" s="243">
        <f t="shared" si="15"/>
        <v>10.539811392696057</v>
      </c>
      <c r="D45" s="278">
        <f t="shared" si="10"/>
        <v>2.4268870235198703</v>
      </c>
      <c r="E45" s="134">
        <v>669736437</v>
      </c>
      <c r="F45" s="62">
        <f t="shared" si="16"/>
        <v>9.7311320719557628</v>
      </c>
      <c r="G45" s="278">
        <f t="shared" si="11"/>
        <v>2.1600917174649252</v>
      </c>
      <c r="H45" s="247">
        <f t="shared" si="3"/>
        <v>-18504454</v>
      </c>
      <c r="I45" s="309">
        <f t="shared" si="4"/>
        <v>-2.6886594856509305</v>
      </c>
      <c r="J45" s="134">
        <v>760050508</v>
      </c>
      <c r="K45" s="62">
        <f t="shared" si="12"/>
        <v>10.675393886421762</v>
      </c>
      <c r="L45" s="278">
        <f t="shared" si="13"/>
        <v>2.3163091091945263</v>
      </c>
      <c r="M45" s="134">
        <v>779933405</v>
      </c>
      <c r="N45" s="62">
        <f>M45/$M$138*100</f>
        <v>10.657027096228946</v>
      </c>
      <c r="O45" s="278">
        <f t="shared" si="14"/>
        <v>2.2525152490974731</v>
      </c>
    </row>
    <row r="46" spans="1:15">
      <c r="A46" s="142" t="s">
        <v>12</v>
      </c>
      <c r="B46" s="228">
        <v>1496</v>
      </c>
      <c r="C46" s="242">
        <f t="shared" si="15"/>
        <v>2.2909940472388034E-5</v>
      </c>
      <c r="D46" s="278">
        <f t="shared" si="10"/>
        <v>5.2752212701435172E-6</v>
      </c>
      <c r="E46" s="228">
        <v>746</v>
      </c>
      <c r="F46" s="67">
        <f t="shared" si="16"/>
        <v>1.0839225887420247E-5</v>
      </c>
      <c r="G46" s="278">
        <f t="shared" si="11"/>
        <v>2.4060635381390098E-6</v>
      </c>
      <c r="H46" s="247">
        <f t="shared" si="3"/>
        <v>-750</v>
      </c>
      <c r="I46" s="309">
        <f t="shared" si="4"/>
        <v>-50.133689839572192</v>
      </c>
      <c r="J46" s="228">
        <v>746</v>
      </c>
      <c r="K46" s="67">
        <f t="shared" si="12"/>
        <v>1.0478045544929278E-5</v>
      </c>
      <c r="L46" s="278">
        <f t="shared" si="13"/>
        <v>2.2734891658793772E-6</v>
      </c>
      <c r="M46" s="228">
        <v>746</v>
      </c>
      <c r="N46" s="67"/>
      <c r="O46" s="278">
        <f t="shared" si="14"/>
        <v>2.1545126353790613E-6</v>
      </c>
    </row>
    <row r="47" spans="1:15">
      <c r="A47" s="144" t="s">
        <v>93</v>
      </c>
      <c r="B47" s="228">
        <v>237480276</v>
      </c>
      <c r="C47" s="225">
        <f t="shared" si="15"/>
        <v>3.6368041353785294</v>
      </c>
      <c r="D47" s="278">
        <f t="shared" si="10"/>
        <v>0.83740708769702754</v>
      </c>
      <c r="E47" s="228">
        <v>227640284</v>
      </c>
      <c r="F47" s="62">
        <f t="shared" si="16"/>
        <v>3.3075662994001296</v>
      </c>
      <c r="G47" s="278">
        <f t="shared" si="11"/>
        <v>0.73420507660054835</v>
      </c>
      <c r="H47" s="247">
        <f t="shared" si="3"/>
        <v>-9839992</v>
      </c>
      <c r="I47" s="309">
        <f t="shared" si="4"/>
        <v>-4.1434986373352558</v>
      </c>
      <c r="J47" s="228">
        <v>258494331</v>
      </c>
      <c r="K47" s="62">
        <f t="shared" si="12"/>
        <v>3.6307176586112924</v>
      </c>
      <c r="L47" s="278">
        <f t="shared" si="13"/>
        <v>0.78778024258677959</v>
      </c>
      <c r="M47" s="228">
        <v>278494331</v>
      </c>
      <c r="N47" s="62">
        <f t="shared" ref="N47:N54" si="17">M47/$M$138*100</f>
        <v>3.8053526270145501</v>
      </c>
      <c r="O47" s="278">
        <f t="shared" si="14"/>
        <v>0.80431575740072203</v>
      </c>
    </row>
    <row r="48" spans="1:15">
      <c r="A48" s="144" t="s">
        <v>94</v>
      </c>
      <c r="B48" s="228">
        <v>282100000</v>
      </c>
      <c r="C48" s="225">
        <f t="shared" si="15"/>
        <v>4.3201164487036525</v>
      </c>
      <c r="D48" s="278">
        <f t="shared" si="10"/>
        <v>0.99474593603441597</v>
      </c>
      <c r="E48" s="228">
        <v>272560000</v>
      </c>
      <c r="F48" s="62">
        <f t="shared" si="16"/>
        <v>3.9602404931303785</v>
      </c>
      <c r="G48" s="278">
        <f t="shared" si="11"/>
        <v>0.87908401870666031</v>
      </c>
      <c r="H48" s="247">
        <f t="shared" si="3"/>
        <v>-9540000</v>
      </c>
      <c r="I48" s="309">
        <f t="shared" si="4"/>
        <v>-3.3817795108117679</v>
      </c>
      <c r="J48" s="228">
        <v>319670000</v>
      </c>
      <c r="K48" s="62">
        <f t="shared" si="12"/>
        <v>4.4899689267393326</v>
      </c>
      <c r="L48" s="278">
        <f t="shared" si="13"/>
        <v>0.9742175357327888</v>
      </c>
      <c r="M48" s="228">
        <v>338700000</v>
      </c>
      <c r="N48" s="62">
        <f t="shared" si="17"/>
        <v>4.628004204400944</v>
      </c>
      <c r="O48" s="278">
        <f t="shared" si="14"/>
        <v>0.97819494584837541</v>
      </c>
    </row>
    <row r="49" spans="1:15">
      <c r="A49" s="120" t="s">
        <v>80</v>
      </c>
      <c r="B49" s="136">
        <v>203279757</v>
      </c>
      <c r="C49" s="229">
        <f t="shared" si="15"/>
        <v>3.1130528957964603</v>
      </c>
      <c r="D49" s="278">
        <f t="shared" si="10"/>
        <v>0.71680862160160796</v>
      </c>
      <c r="E49" s="136">
        <v>326190901</v>
      </c>
      <c r="F49" s="67">
        <f t="shared" si="16"/>
        <v>4.7394864053084911</v>
      </c>
      <c r="G49" s="278">
        <f t="shared" si="11"/>
        <v>1.0520590259635543</v>
      </c>
      <c r="H49" s="247">
        <f t="shared" si="3"/>
        <v>122911144</v>
      </c>
      <c r="I49" s="309">
        <f t="shared" si="4"/>
        <v>60.464035285126783</v>
      </c>
      <c r="J49" s="136">
        <v>212866411</v>
      </c>
      <c r="K49" s="67">
        <f t="shared" si="12"/>
        <v>2.9898444362515213</v>
      </c>
      <c r="L49" s="278">
        <f t="shared" si="13"/>
        <v>0.64872584341571937</v>
      </c>
      <c r="M49" s="136">
        <v>126316754</v>
      </c>
      <c r="N49" s="67">
        <f t="shared" si="17"/>
        <v>1.7259948880964857</v>
      </c>
      <c r="O49" s="278">
        <f t="shared" si="14"/>
        <v>0.36481372996389888</v>
      </c>
    </row>
    <row r="50" spans="1:15" ht="26.25">
      <c r="A50" s="122" t="s">
        <v>44</v>
      </c>
      <c r="B50" s="290">
        <v>26741</v>
      </c>
      <c r="C50" s="237">
        <f t="shared" si="15"/>
        <v>4.0951518594393603E-4</v>
      </c>
      <c r="D50" s="278">
        <f t="shared" si="10"/>
        <v>9.4294580203815374E-5</v>
      </c>
      <c r="E50" s="290"/>
      <c r="F50" s="67">
        <f t="shared" si="16"/>
        <v>0</v>
      </c>
      <c r="G50" s="278">
        <f t="shared" si="11"/>
        <v>0</v>
      </c>
      <c r="H50" s="247">
        <f t="shared" si="3"/>
        <v>-26741</v>
      </c>
      <c r="I50" s="309">
        <f t="shared" si="4"/>
        <v>-100</v>
      </c>
      <c r="J50" s="290"/>
      <c r="K50" s="67">
        <f t="shared" si="12"/>
        <v>0</v>
      </c>
      <c r="L50" s="278">
        <f t="shared" si="13"/>
        <v>0</v>
      </c>
      <c r="M50" s="290"/>
      <c r="N50" s="67">
        <f t="shared" si="17"/>
        <v>0</v>
      </c>
      <c r="O50" s="278">
        <f t="shared" si="14"/>
        <v>0</v>
      </c>
    </row>
    <row r="51" spans="1:15" hidden="1">
      <c r="A51" s="311" t="s">
        <v>147</v>
      </c>
      <c r="B51" s="141"/>
      <c r="C51" s="244">
        <f t="shared" si="15"/>
        <v>0</v>
      </c>
      <c r="D51" s="278">
        <f t="shared" si="10"/>
        <v>0</v>
      </c>
      <c r="E51" s="141"/>
      <c r="F51" s="62">
        <f t="shared" si="16"/>
        <v>0</v>
      </c>
      <c r="G51" s="278">
        <f t="shared" si="11"/>
        <v>0</v>
      </c>
      <c r="H51" s="247">
        <f t="shared" si="3"/>
        <v>0</v>
      </c>
      <c r="I51" s="298" t="s">
        <v>137</v>
      </c>
      <c r="J51" s="141"/>
      <c r="K51" s="62">
        <f t="shared" si="12"/>
        <v>0</v>
      </c>
      <c r="L51" s="278">
        <f t="shared" si="13"/>
        <v>0</v>
      </c>
      <c r="M51" s="141"/>
      <c r="N51" s="62">
        <f t="shared" si="17"/>
        <v>0</v>
      </c>
      <c r="O51" s="278">
        <f t="shared" si="14"/>
        <v>0</v>
      </c>
    </row>
    <row r="52" spans="1:15">
      <c r="A52" s="139" t="s">
        <v>95</v>
      </c>
      <c r="B52" s="132">
        <f>B53+B56</f>
        <v>397463612</v>
      </c>
      <c r="C52" s="62">
        <f t="shared" si="15"/>
        <v>6.0868099537836446</v>
      </c>
      <c r="D52" s="278">
        <f t="shared" si="10"/>
        <v>1.4015431150604747</v>
      </c>
      <c r="E52" s="132">
        <v>438573094</v>
      </c>
      <c r="F52" s="62">
        <f t="shared" si="16"/>
        <v>6.3723764530975782</v>
      </c>
      <c r="G52" s="278">
        <f t="shared" si="11"/>
        <v>1.4145237671343331</v>
      </c>
      <c r="H52" s="247">
        <f t="shared" si="3"/>
        <v>41109482</v>
      </c>
      <c r="I52" s="309">
        <f t="shared" si="4"/>
        <v>10.342954866519946</v>
      </c>
      <c r="J52" s="132">
        <v>379708764</v>
      </c>
      <c r="K52" s="62">
        <f t="shared" si="12"/>
        <v>5.3332516394112632</v>
      </c>
      <c r="L52" s="278">
        <f t="shared" si="13"/>
        <v>1.1571900283424252</v>
      </c>
      <c r="M52" s="132">
        <v>365016548</v>
      </c>
      <c r="N52" s="62">
        <f t="shared" si="17"/>
        <v>4.987594091585235</v>
      </c>
      <c r="O52" s="278">
        <f t="shared" si="14"/>
        <v>1.0541994166064983</v>
      </c>
    </row>
    <row r="53" spans="1:15">
      <c r="A53" s="115" t="s">
        <v>79</v>
      </c>
      <c r="B53" s="134">
        <v>375223120</v>
      </c>
      <c r="C53" s="243">
        <f t="shared" si="15"/>
        <v>5.7462161384115715</v>
      </c>
      <c r="D53" s="278">
        <f t="shared" si="10"/>
        <v>1.3231183045946613</v>
      </c>
      <c r="E53" s="134">
        <v>402701273</v>
      </c>
      <c r="F53" s="62">
        <f t="shared" si="16"/>
        <v>5.8511663045558819</v>
      </c>
      <c r="G53" s="278">
        <f t="shared" si="11"/>
        <v>1.2988268763102726</v>
      </c>
      <c r="H53" s="247">
        <f t="shared" si="3"/>
        <v>27478153</v>
      </c>
      <c r="I53" s="309">
        <f t="shared" si="4"/>
        <v>7.3231502898862004</v>
      </c>
      <c r="J53" s="134">
        <v>358971981</v>
      </c>
      <c r="K53" s="62">
        <f t="shared" si="12"/>
        <v>5.0419903033129865</v>
      </c>
      <c r="L53" s="278">
        <f t="shared" si="13"/>
        <v>1.0939931764849298</v>
      </c>
      <c r="M53" s="134">
        <v>354048390</v>
      </c>
      <c r="N53" s="62">
        <f t="shared" si="17"/>
        <v>4.8377249408957335</v>
      </c>
      <c r="O53" s="278">
        <f t="shared" si="14"/>
        <v>1.0225224259927799</v>
      </c>
    </row>
    <row r="54" spans="1:15">
      <c r="A54" s="142" t="s">
        <v>12</v>
      </c>
      <c r="B54" s="228">
        <v>188</v>
      </c>
      <c r="C54" s="232">
        <f t="shared" si="15"/>
        <v>2.8790566903803139E-6</v>
      </c>
      <c r="D54" s="278">
        <f t="shared" si="10"/>
        <v>6.6292887619450615E-7</v>
      </c>
      <c r="E54" s="228">
        <v>187</v>
      </c>
      <c r="F54" s="67">
        <f t="shared" si="16"/>
        <v>2.7170713685624478E-6</v>
      </c>
      <c r="G54" s="278">
        <f t="shared" si="11"/>
        <v>6.0312852765682951E-7</v>
      </c>
      <c r="H54" s="247">
        <f t="shared" si="3"/>
        <v>-1</v>
      </c>
      <c r="I54" s="309">
        <f t="shared" si="4"/>
        <v>-0.53191489361702793</v>
      </c>
      <c r="J54" s="228">
        <v>110</v>
      </c>
      <c r="K54" s="67">
        <f t="shared" si="12"/>
        <v>1.5450201205659795E-6</v>
      </c>
      <c r="L54" s="278">
        <f t="shared" si="13"/>
        <v>3.3523298692591352E-7</v>
      </c>
      <c r="M54" s="228"/>
      <c r="N54" s="67">
        <f t="shared" si="17"/>
        <v>0</v>
      </c>
      <c r="O54" s="278">
        <f t="shared" si="14"/>
        <v>0</v>
      </c>
    </row>
    <row r="55" spans="1:15">
      <c r="A55" s="311" t="s">
        <v>147</v>
      </c>
      <c r="B55" s="141">
        <v>180000</v>
      </c>
      <c r="C55" s="244">
        <f t="shared" si="15"/>
        <v>2.7565436397258328E-3</v>
      </c>
      <c r="D55" s="278">
        <f t="shared" si="10"/>
        <v>6.3471913678197394E-4</v>
      </c>
      <c r="E55" s="141">
        <v>542435</v>
      </c>
      <c r="F55" s="62">
        <f t="shared" si="16"/>
        <v>7.8814684909420916E-3</v>
      </c>
      <c r="G55" s="278">
        <f t="shared" si="11"/>
        <v>1.7495081438477667E-3</v>
      </c>
      <c r="H55" s="247">
        <f>E55-B55</f>
        <v>362435</v>
      </c>
      <c r="I55" s="309">
        <f t="shared" si="4"/>
        <v>201.35277777777776</v>
      </c>
      <c r="J55" s="141"/>
      <c r="K55" s="62">
        <f t="shared" si="12"/>
        <v>0</v>
      </c>
      <c r="L55" s="278">
        <f t="shared" si="13"/>
        <v>0</v>
      </c>
      <c r="M55" s="141"/>
      <c r="N55" s="62"/>
      <c r="O55" s="278">
        <f t="shared" si="14"/>
        <v>0</v>
      </c>
    </row>
    <row r="56" spans="1:15">
      <c r="A56" s="120" t="s">
        <v>80</v>
      </c>
      <c r="B56" s="136">
        <v>22240492</v>
      </c>
      <c r="C56" s="240">
        <f t="shared" si="15"/>
        <v>0.34059381537207367</v>
      </c>
      <c r="D56" s="278">
        <f t="shared" si="10"/>
        <v>7.842481046581333E-2</v>
      </c>
      <c r="E56" s="136">
        <v>35871821</v>
      </c>
      <c r="F56" s="62">
        <f t="shared" si="16"/>
        <v>0.52121014854169601</v>
      </c>
      <c r="G56" s="278">
        <f t="shared" si="11"/>
        <v>0.11569689082406064</v>
      </c>
      <c r="H56" s="247">
        <f t="shared" si="3"/>
        <v>13631329</v>
      </c>
      <c r="I56" s="309">
        <f t="shared" si="4"/>
        <v>61.290591053471303</v>
      </c>
      <c r="J56" s="136">
        <v>20736783</v>
      </c>
      <c r="K56" s="62">
        <f t="shared" si="12"/>
        <v>0.29126133609827776</v>
      </c>
      <c r="L56" s="278">
        <f t="shared" si="13"/>
        <v>6.3196851857495503E-2</v>
      </c>
      <c r="M56" s="136">
        <v>10968158</v>
      </c>
      <c r="N56" s="62">
        <f>M56/$M$138*100</f>
        <v>0.14986915068950057</v>
      </c>
      <c r="O56" s="278">
        <f t="shared" si="14"/>
        <v>3.1676990613718412E-2</v>
      </c>
    </row>
    <row r="57" spans="1:15" ht="26.25">
      <c r="A57" s="122" t="s">
        <v>44</v>
      </c>
      <c r="B57" s="290">
        <v>10202212</v>
      </c>
      <c r="C57" s="239">
        <f t="shared" si="15"/>
        <v>0.15623801444296981</v>
      </c>
      <c r="D57" s="278">
        <f t="shared" si="10"/>
        <v>3.5975217743926091E-2</v>
      </c>
      <c r="E57" s="290">
        <v>10156085</v>
      </c>
      <c r="F57" s="62">
        <f t="shared" si="16"/>
        <v>0.14756581695286924</v>
      </c>
      <c r="G57" s="278">
        <f t="shared" si="11"/>
        <v>3.2756281244960495E-2</v>
      </c>
      <c r="H57" s="247">
        <f t="shared" si="3"/>
        <v>-46127</v>
      </c>
      <c r="I57" s="309">
        <f t="shared" si="4"/>
        <v>-0.45212744059817567</v>
      </c>
      <c r="J57" s="290">
        <v>5588581</v>
      </c>
      <c r="K57" s="62">
        <f t="shared" si="12"/>
        <v>7.8495182640115832E-2</v>
      </c>
      <c r="L57" s="278">
        <f t="shared" si="13"/>
        <v>1.70316063755219E-2</v>
      </c>
      <c r="M57" s="290">
        <v>5287880</v>
      </c>
      <c r="N57" s="62">
        <f>M57/$M$138*100</f>
        <v>7.2253707919597468E-2</v>
      </c>
      <c r="O57" s="278">
        <f t="shared" si="14"/>
        <v>1.527185559566787E-2</v>
      </c>
    </row>
    <row r="58" spans="1:15">
      <c r="A58" s="311" t="s">
        <v>43</v>
      </c>
      <c r="B58" s="141">
        <v>0</v>
      </c>
      <c r="C58" s="239">
        <f t="shared" si="15"/>
        <v>0</v>
      </c>
      <c r="D58" s="278">
        <f t="shared" si="10"/>
        <v>0</v>
      </c>
      <c r="E58" s="141"/>
      <c r="F58" s="62">
        <f t="shared" si="16"/>
        <v>0</v>
      </c>
      <c r="G58" s="278">
        <f t="shared" si="11"/>
        <v>0</v>
      </c>
      <c r="H58" s="247">
        <f t="shared" si="3"/>
        <v>0</v>
      </c>
      <c r="I58" s="298" t="s">
        <v>137</v>
      </c>
      <c r="J58" s="136">
        <v>90000</v>
      </c>
      <c r="K58" s="62">
        <f t="shared" si="12"/>
        <v>1.264107371372165E-3</v>
      </c>
      <c r="L58" s="278">
        <f t="shared" si="13"/>
        <v>2.7428153475756562E-4</v>
      </c>
      <c r="M58" s="136"/>
      <c r="N58" s="62"/>
      <c r="O58" s="278">
        <f t="shared" si="14"/>
        <v>0</v>
      </c>
    </row>
    <row r="59" spans="1:15">
      <c r="A59" s="145" t="s">
        <v>96</v>
      </c>
      <c r="B59" s="132">
        <f>B60+B62</f>
        <v>395633698</v>
      </c>
      <c r="C59" s="62">
        <f t="shared" si="15"/>
        <v>6.0587864104617273</v>
      </c>
      <c r="D59" s="278">
        <f t="shared" si="10"/>
        <v>1.3950904404245565</v>
      </c>
      <c r="E59" s="132">
        <v>407082948</v>
      </c>
      <c r="F59" s="62">
        <f t="shared" si="16"/>
        <v>5.9148311371165541</v>
      </c>
      <c r="G59" s="278">
        <f t="shared" si="11"/>
        <v>1.3129590324141267</v>
      </c>
      <c r="H59" s="247">
        <f t="shared" si="3"/>
        <v>11449250</v>
      </c>
      <c r="I59" s="309">
        <f t="shared" si="4"/>
        <v>2.8939016210899098</v>
      </c>
      <c r="J59" s="132">
        <v>361583412</v>
      </c>
      <c r="K59" s="62">
        <f t="shared" si="12"/>
        <v>5.0786695163899838</v>
      </c>
      <c r="L59" s="278">
        <f t="shared" si="13"/>
        <v>1.1019517020693017</v>
      </c>
      <c r="M59" s="132">
        <v>299245474</v>
      </c>
      <c r="N59" s="62">
        <f>M59/$M$138*100</f>
        <v>4.0888966986122028</v>
      </c>
      <c r="O59" s="278">
        <f t="shared" si="14"/>
        <v>0.8642468563176896</v>
      </c>
    </row>
    <row r="60" spans="1:15">
      <c r="A60" s="115" t="s">
        <v>79</v>
      </c>
      <c r="B60" s="134">
        <f>286863437+187392</f>
        <v>287050829</v>
      </c>
      <c r="C60" s="244">
        <f t="shared" si="15"/>
        <v>4.395934094210987</v>
      </c>
      <c r="D60" s="278">
        <f t="shared" si="10"/>
        <v>1.0122036355301669</v>
      </c>
      <c r="E60" s="134">
        <v>280381529</v>
      </c>
      <c r="F60" s="134">
        <f t="shared" si="16"/>
        <v>4.0738856936880303</v>
      </c>
      <c r="G60" s="278">
        <f t="shared" si="11"/>
        <v>0.90431068859861319</v>
      </c>
      <c r="H60" s="247">
        <f t="shared" si="3"/>
        <v>-6669300</v>
      </c>
      <c r="I60" s="309">
        <f t="shared" si="4"/>
        <v>-2.3233864271473692</v>
      </c>
      <c r="J60" s="134">
        <v>279397653</v>
      </c>
      <c r="K60" s="62">
        <f t="shared" si="12"/>
        <v>3.9243181411264696</v>
      </c>
      <c r="L60" s="278">
        <f t="shared" si="13"/>
        <v>0.85148463413890829</v>
      </c>
      <c r="M60" s="134">
        <v>265732015</v>
      </c>
      <c r="N60" s="62">
        <f>M60/$M$138*100</f>
        <v>3.6309680621905365</v>
      </c>
      <c r="O60" s="278">
        <f t="shared" si="14"/>
        <v>0.76745708303249094</v>
      </c>
    </row>
    <row r="61" spans="1:15">
      <c r="A61" s="311" t="s">
        <v>43</v>
      </c>
      <c r="B61" s="141">
        <v>40165</v>
      </c>
      <c r="C61" s="244">
        <f t="shared" si="15"/>
        <v>6.1509208494215598E-4</v>
      </c>
      <c r="D61" s="278">
        <f t="shared" si="10"/>
        <v>1.4163052293804436E-4</v>
      </c>
      <c r="E61" s="141">
        <v>215130</v>
      </c>
      <c r="F61" s="62">
        <f t="shared" si="16"/>
        <v>3.1257944573199969E-3</v>
      </c>
      <c r="G61" s="278">
        <f t="shared" si="11"/>
        <v>6.9385582970488634E-4</v>
      </c>
      <c r="H61" s="247">
        <f t="shared" si="3"/>
        <v>174965</v>
      </c>
      <c r="I61" s="309">
        <f t="shared" si="4"/>
        <v>435.61558570895056</v>
      </c>
      <c r="J61" s="141">
        <v>175575</v>
      </c>
      <c r="K61" s="62">
        <f t="shared" si="12"/>
        <v>2.4660627969851985E-3</v>
      </c>
      <c r="L61" s="278">
        <f t="shared" si="13"/>
        <v>5.3507756072288415E-4</v>
      </c>
      <c r="M61" s="141">
        <v>175575</v>
      </c>
      <c r="N61" s="62"/>
      <c r="O61" s="278">
        <f t="shared" si="14"/>
        <v>5.0707581227436827E-4</v>
      </c>
    </row>
    <row r="62" spans="1:15">
      <c r="A62" s="120" t="s">
        <v>80</v>
      </c>
      <c r="B62" s="136">
        <f>108589624-6755</f>
        <v>108582869</v>
      </c>
      <c r="C62" s="240">
        <f t="shared" si="15"/>
        <v>1.6628523162507407</v>
      </c>
      <c r="D62" s="278">
        <f t="shared" si="10"/>
        <v>0.38288680489438981</v>
      </c>
      <c r="E62" s="136">
        <v>126701419</v>
      </c>
      <c r="F62" s="62">
        <f t="shared" si="16"/>
        <v>1.8409454434285246</v>
      </c>
      <c r="G62" s="278">
        <f t="shared" si="11"/>
        <v>0.40864834381551363</v>
      </c>
      <c r="H62" s="247">
        <f t="shared" si="3"/>
        <v>18118550</v>
      </c>
      <c r="I62" s="309">
        <f t="shared" si="4"/>
        <v>16.686379874526992</v>
      </c>
      <c r="J62" s="136">
        <v>82185759</v>
      </c>
      <c r="K62" s="62">
        <f t="shared" si="12"/>
        <v>1.1543513752635137</v>
      </c>
      <c r="L62" s="278">
        <f t="shared" si="13"/>
        <v>0.25046706793039342</v>
      </c>
      <c r="M62" s="136">
        <v>33513459</v>
      </c>
      <c r="N62" s="62">
        <f t="shared" ref="N62:N72" si="18">M62/$M$138*100</f>
        <v>0.45792863642166709</v>
      </c>
      <c r="O62" s="278">
        <f t="shared" si="14"/>
        <v>9.6789773285198555E-2</v>
      </c>
    </row>
    <row r="63" spans="1:15" ht="26.25">
      <c r="A63" s="122" t="s">
        <v>44</v>
      </c>
      <c r="B63" s="290">
        <v>0</v>
      </c>
      <c r="C63" s="239">
        <f t="shared" si="15"/>
        <v>0</v>
      </c>
      <c r="D63" s="278">
        <f t="shared" si="10"/>
        <v>0</v>
      </c>
      <c r="E63" s="290">
        <v>314866</v>
      </c>
      <c r="F63" s="62">
        <f t="shared" si="16"/>
        <v>4.5749379333357414E-3</v>
      </c>
      <c r="G63" s="278">
        <f t="shared" si="11"/>
        <v>1.0155329785518463E-3</v>
      </c>
      <c r="H63" s="247">
        <f t="shared" si="3"/>
        <v>314866</v>
      </c>
      <c r="I63" s="298" t="s">
        <v>137</v>
      </c>
      <c r="J63" s="290">
        <v>138772</v>
      </c>
      <c r="K63" s="62">
        <f t="shared" si="12"/>
        <v>1.9491412015562009E-3</v>
      </c>
      <c r="L63" s="278">
        <f t="shared" si="13"/>
        <v>4.2291774601529888E-4</v>
      </c>
      <c r="M63" s="290"/>
      <c r="N63" s="62">
        <f t="shared" si="18"/>
        <v>0</v>
      </c>
      <c r="O63" s="278">
        <f t="shared" si="14"/>
        <v>0</v>
      </c>
    </row>
    <row r="64" spans="1:15">
      <c r="A64" s="311" t="s">
        <v>43</v>
      </c>
      <c r="B64" s="312">
        <v>142746</v>
      </c>
      <c r="C64" s="239">
        <f t="shared" si="15"/>
        <v>2.1860309910905762E-3</v>
      </c>
      <c r="D64" s="278">
        <f t="shared" si="10"/>
        <v>5.0335343277266482E-4</v>
      </c>
      <c r="E64" s="312">
        <v>417396</v>
      </c>
      <c r="F64" s="224">
        <f t="shared" si="16"/>
        <v>6.0646776521523608E-3</v>
      </c>
      <c r="G64" s="278">
        <f t="shared" si="11"/>
        <v>1.3462215771649732E-3</v>
      </c>
      <c r="H64" s="247">
        <f t="shared" si="3"/>
        <v>274650</v>
      </c>
      <c r="I64" s="309">
        <f t="shared" si="4"/>
        <v>192.40469084948086</v>
      </c>
      <c r="J64" s="312">
        <v>143509</v>
      </c>
      <c r="K64" s="224">
        <f t="shared" si="12"/>
        <v>2.0156753862027562E-3</v>
      </c>
      <c r="L64" s="278">
        <f t="shared" si="13"/>
        <v>4.3735409746137208E-4</v>
      </c>
      <c r="M64" s="312">
        <v>15556</v>
      </c>
      <c r="N64" s="224">
        <f t="shared" si="18"/>
        <v>2.1255752407340147E-4</v>
      </c>
      <c r="O64" s="278">
        <f t="shared" si="14"/>
        <v>4.4927075812274371E-5</v>
      </c>
    </row>
    <row r="65" spans="1:15">
      <c r="A65" s="137" t="s">
        <v>97</v>
      </c>
      <c r="B65" s="132">
        <f>B66+B68</f>
        <v>668073002</v>
      </c>
      <c r="C65" s="62">
        <f t="shared" si="15"/>
        <v>10.230957691864687</v>
      </c>
      <c r="D65" s="278">
        <f t="shared" si="10"/>
        <v>2.355770661871011</v>
      </c>
      <c r="E65" s="132">
        <v>672405711</v>
      </c>
      <c r="F65" s="62">
        <f t="shared" si="16"/>
        <v>9.7699160717431859</v>
      </c>
      <c r="G65" s="278">
        <f t="shared" si="11"/>
        <v>2.1687008901790037</v>
      </c>
      <c r="H65" s="247">
        <f t="shared" si="3"/>
        <v>4332709</v>
      </c>
      <c r="I65" s="309">
        <f t="shared" si="4"/>
        <v>0.64853825660209452</v>
      </c>
      <c r="J65" s="132">
        <v>639596187</v>
      </c>
      <c r="K65" s="62">
        <f t="shared" si="12"/>
        <v>8.983536163202551</v>
      </c>
      <c r="L65" s="278">
        <f t="shared" si="13"/>
        <v>1.9492158199494105</v>
      </c>
      <c r="M65" s="132">
        <v>276989290</v>
      </c>
      <c r="N65" s="62">
        <f t="shared" si="18"/>
        <v>3.784787713888492</v>
      </c>
      <c r="O65" s="278">
        <f t="shared" si="14"/>
        <v>0.79996906859205774</v>
      </c>
    </row>
    <row r="66" spans="1:15">
      <c r="A66" s="115" t="s">
        <v>79</v>
      </c>
      <c r="B66" s="134">
        <f>88755066+238453</f>
        <v>88993519</v>
      </c>
      <c r="C66" s="243">
        <f t="shared" si="15"/>
        <v>1.3628584376459447</v>
      </c>
      <c r="D66" s="278">
        <f t="shared" si="10"/>
        <v>0.31381049754927892</v>
      </c>
      <c r="E66" s="134">
        <v>88314192</v>
      </c>
      <c r="F66" s="62">
        <f t="shared" si="16"/>
        <v>1.2831869653525496</v>
      </c>
      <c r="G66" s="278">
        <f t="shared" si="11"/>
        <v>0.28483854862119018</v>
      </c>
      <c r="H66" s="247">
        <f t="shared" si="3"/>
        <v>-679327</v>
      </c>
      <c r="I66" s="309">
        <f t="shared" si="4"/>
        <v>-0.76334435095212427</v>
      </c>
      <c r="J66" s="134">
        <v>87631122</v>
      </c>
      <c r="K66" s="62">
        <f t="shared" si="12"/>
        <v>1.2308349697979277</v>
      </c>
      <c r="L66" s="278">
        <f t="shared" si="13"/>
        <v>0.267062207052083</v>
      </c>
      <c r="M66" s="134">
        <v>85534169</v>
      </c>
      <c r="N66" s="62">
        <f t="shared" si="18"/>
        <v>1.168740755098733</v>
      </c>
      <c r="O66" s="278">
        <f t="shared" si="14"/>
        <v>0.24703009097472922</v>
      </c>
    </row>
    <row r="67" spans="1:15">
      <c r="A67" s="142" t="s">
        <v>12</v>
      </c>
      <c r="B67" s="228">
        <v>562</v>
      </c>
      <c r="C67" s="232">
        <f t="shared" si="15"/>
        <v>8.6065418084773223E-6</v>
      </c>
      <c r="D67" s="278">
        <f t="shared" si="10"/>
        <v>1.9817341937303854E-6</v>
      </c>
      <c r="E67" s="228">
        <v>374</v>
      </c>
      <c r="F67" s="67">
        <f t="shared" si="16"/>
        <v>5.4341427371248955E-6</v>
      </c>
      <c r="G67" s="278">
        <f t="shared" si="11"/>
        <v>1.206257055313659E-6</v>
      </c>
      <c r="H67" s="247">
        <f t="shared" si="3"/>
        <v>-188</v>
      </c>
      <c r="I67" s="309">
        <f t="shared" si="4"/>
        <v>-33.451957295373674</v>
      </c>
      <c r="J67" s="228">
        <v>374</v>
      </c>
      <c r="K67" s="67">
        <f t="shared" si="12"/>
        <v>5.2530684099243296E-6</v>
      </c>
      <c r="L67" s="278">
        <f t="shared" si="13"/>
        <v>1.1397921555481058E-6</v>
      </c>
      <c r="M67" s="228">
        <v>374</v>
      </c>
      <c r="N67" s="67">
        <f t="shared" si="18"/>
        <v>5.1103441761026064E-6</v>
      </c>
      <c r="O67" s="278">
        <f t="shared" si="14"/>
        <v>1.0801444043321298E-6</v>
      </c>
    </row>
    <row r="68" spans="1:15">
      <c r="A68" s="120" t="s">
        <v>80</v>
      </c>
      <c r="B68" s="136">
        <v>579079483</v>
      </c>
      <c r="C68" s="240">
        <f t="shared" si="15"/>
        <v>8.8680992542187411</v>
      </c>
      <c r="D68" s="278">
        <f t="shared" si="10"/>
        <v>2.0419601643217318</v>
      </c>
      <c r="E68" s="136">
        <v>584091519</v>
      </c>
      <c r="F68" s="62">
        <f t="shared" si="16"/>
        <v>8.4867291063906372</v>
      </c>
      <c r="G68" s="278">
        <f t="shared" si="11"/>
        <v>1.8838623415578131</v>
      </c>
      <c r="H68" s="247">
        <f t="shared" si="3"/>
        <v>5012036</v>
      </c>
      <c r="I68" s="309">
        <f t="shared" si="4"/>
        <v>0.86551779973873977</v>
      </c>
      <c r="J68" s="136">
        <v>551965065</v>
      </c>
      <c r="K68" s="62">
        <f t="shared" si="12"/>
        <v>7.7527011934046239</v>
      </c>
      <c r="L68" s="278">
        <f t="shared" si="13"/>
        <v>1.6821536128973271</v>
      </c>
      <c r="M68" s="136">
        <v>191455121</v>
      </c>
      <c r="N68" s="62">
        <f t="shared" si="18"/>
        <v>2.616046958789759</v>
      </c>
      <c r="O68" s="278">
        <f t="shared" si="14"/>
        <v>0.55293897761732858</v>
      </c>
    </row>
    <row r="69" spans="1:15" ht="26.25">
      <c r="A69" s="122" t="s">
        <v>44</v>
      </c>
      <c r="B69" s="290">
        <v>20721487</v>
      </c>
      <c r="C69" s="239">
        <f t="shared" si="15"/>
        <v>0.31733157330839734</v>
      </c>
      <c r="D69" s="278">
        <f t="shared" ref="D69:D100" si="19">B69/$B$155/1000000*100</f>
        <v>7.3068468563771638E-2</v>
      </c>
      <c r="E69" s="290">
        <v>17998008</v>
      </c>
      <c r="F69" s="62">
        <f t="shared" si="16"/>
        <v>0.26150733811742183</v>
      </c>
      <c r="G69" s="278">
        <f t="shared" ref="G69:G100" si="20">E69/$E$155/1000000*100</f>
        <v>5.8048727624576676E-2</v>
      </c>
      <c r="H69" s="247">
        <f t="shared" si="3"/>
        <v>-2723479</v>
      </c>
      <c r="I69" s="309">
        <f t="shared" si="4"/>
        <v>-13.14326042334703</v>
      </c>
      <c r="J69" s="290">
        <v>12941187</v>
      </c>
      <c r="K69" s="62">
        <f t="shared" ref="K69:K100" si="21">J69/$J$138*100</f>
        <v>0.18176722090006259</v>
      </c>
      <c r="L69" s="278">
        <f t="shared" ref="L69:L100" si="22">J69/$J$155/1000000*100</f>
        <v>3.9439207021607289E-2</v>
      </c>
      <c r="M69" s="290">
        <v>11603508</v>
      </c>
      <c r="N69" s="62">
        <f t="shared" si="18"/>
        <v>0.15855058697903746</v>
      </c>
      <c r="O69" s="278">
        <f t="shared" ref="O69:O100" si="23">M69/$M$155/1000000*100</f>
        <v>3.3511936462093862E-2</v>
      </c>
    </row>
    <row r="70" spans="1:15">
      <c r="A70" s="311" t="s">
        <v>43</v>
      </c>
      <c r="B70" s="312">
        <v>0</v>
      </c>
      <c r="C70" s="239">
        <f t="shared" si="15"/>
        <v>0</v>
      </c>
      <c r="D70" s="278">
        <f t="shared" si="19"/>
        <v>0</v>
      </c>
      <c r="E70" s="312">
        <v>4033757</v>
      </c>
      <c r="F70" s="224">
        <f t="shared" si="16"/>
        <v>5.8609655895392271E-2</v>
      </c>
      <c r="G70" s="278">
        <f t="shared" si="20"/>
        <v>1.3010020964360585E-2</v>
      </c>
      <c r="H70" s="247">
        <f t="shared" si="3"/>
        <v>4033757</v>
      </c>
      <c r="I70" s="298" t="s">
        <v>137</v>
      </c>
      <c r="J70" s="312">
        <v>9476</v>
      </c>
      <c r="K70" s="224">
        <f t="shared" si="21"/>
        <v>1.330964605680293E-4</v>
      </c>
      <c r="L70" s="278">
        <f t="shared" si="22"/>
        <v>2.887879803736324E-5</v>
      </c>
      <c r="M70" s="312"/>
      <c r="N70" s="224">
        <f t="shared" si="18"/>
        <v>0</v>
      </c>
      <c r="O70" s="278">
        <f t="shared" si="23"/>
        <v>0</v>
      </c>
    </row>
    <row r="71" spans="1:15">
      <c r="A71" s="139" t="s">
        <v>98</v>
      </c>
      <c r="B71" s="132">
        <f>B72+B75</f>
        <v>428816208</v>
      </c>
      <c r="C71" s="62">
        <f t="shared" si="15"/>
        <v>6.5669477265208318</v>
      </c>
      <c r="D71" s="278">
        <f t="shared" si="19"/>
        <v>1.5120991854437744</v>
      </c>
      <c r="E71" s="132">
        <v>449970686</v>
      </c>
      <c r="F71" s="62">
        <f t="shared" si="16"/>
        <v>6.5379811102834404</v>
      </c>
      <c r="G71" s="278">
        <f t="shared" si="20"/>
        <v>1.4512842638284147</v>
      </c>
      <c r="H71" s="247">
        <f t="shared" si="3"/>
        <v>21154478</v>
      </c>
      <c r="I71" s="309">
        <f t="shared" si="4"/>
        <v>4.9332272440597507</v>
      </c>
      <c r="J71" s="132">
        <v>434023738</v>
      </c>
      <c r="K71" s="62">
        <f t="shared" si="21"/>
        <v>6.0961400728477919</v>
      </c>
      <c r="L71" s="278">
        <f t="shared" si="22"/>
        <v>1.3227188553317284</v>
      </c>
      <c r="M71" s="132">
        <v>437596559</v>
      </c>
      <c r="N71" s="62">
        <f t="shared" si="18"/>
        <v>5.9793289485780496</v>
      </c>
      <c r="O71" s="278">
        <f t="shared" si="23"/>
        <v>1.2638167768953068</v>
      </c>
    </row>
    <row r="72" spans="1:15">
      <c r="A72" s="115" t="s">
        <v>79</v>
      </c>
      <c r="B72" s="134">
        <f>331741444+25700</f>
        <v>331767144</v>
      </c>
      <c r="C72" s="243">
        <f t="shared" ref="C72:C103" si="24">B72/$B$138*100</f>
        <v>5.0807256147955799</v>
      </c>
      <c r="D72" s="278">
        <f t="shared" si="19"/>
        <v>1.1698830847350048</v>
      </c>
      <c r="E72" s="134">
        <v>334862738</v>
      </c>
      <c r="F72" s="62">
        <f t="shared" si="16"/>
        <v>4.865486405445071</v>
      </c>
      <c r="G72" s="278">
        <f t="shared" si="20"/>
        <v>1.0800281825512015</v>
      </c>
      <c r="H72" s="247">
        <f>E72-B72</f>
        <v>3095594</v>
      </c>
      <c r="I72" s="309">
        <f t="shared" si="4"/>
        <v>0.93306225646021801</v>
      </c>
      <c r="J72" s="134">
        <v>343730375</v>
      </c>
      <c r="K72" s="62">
        <f t="shared" si="21"/>
        <v>4.8279122311335385</v>
      </c>
      <c r="L72" s="278">
        <f t="shared" si="22"/>
        <v>1.0475432755310397</v>
      </c>
      <c r="M72" s="134">
        <v>341681260</v>
      </c>
      <c r="N72" s="62">
        <f t="shared" si="18"/>
        <v>4.6687402062149745</v>
      </c>
      <c r="O72" s="278">
        <f t="shared" si="23"/>
        <v>0.98680508303249093</v>
      </c>
    </row>
    <row r="73" spans="1:15">
      <c r="A73" s="142" t="s">
        <v>12</v>
      </c>
      <c r="B73" s="134">
        <v>375</v>
      </c>
      <c r="C73" s="243">
        <f t="shared" si="24"/>
        <v>5.7427992494288185E-6</v>
      </c>
      <c r="D73" s="278">
        <f t="shared" si="19"/>
        <v>1.3223315349624457E-6</v>
      </c>
      <c r="E73" s="134">
        <v>187</v>
      </c>
      <c r="F73" s="62">
        <f t="shared" ref="F73:F104" si="25">E73/$E$138*100</f>
        <v>2.7170713685624478E-6</v>
      </c>
      <c r="G73" s="278">
        <f t="shared" si="20"/>
        <v>6.0312852765682951E-7</v>
      </c>
      <c r="H73" s="247">
        <f>E73-B73</f>
        <v>-188</v>
      </c>
      <c r="I73" s="309">
        <f t="shared" si="4"/>
        <v>-50.133333333333333</v>
      </c>
      <c r="J73" s="134">
        <v>187</v>
      </c>
      <c r="K73" s="62">
        <f t="shared" si="21"/>
        <v>2.6265342049621648E-6</v>
      </c>
      <c r="L73" s="278">
        <f t="shared" si="22"/>
        <v>5.698960777740529E-7</v>
      </c>
      <c r="M73" s="134">
        <v>187</v>
      </c>
      <c r="N73" s="62"/>
      <c r="O73" s="278">
        <f t="shared" si="23"/>
        <v>5.4007220216606492E-7</v>
      </c>
    </row>
    <row r="74" spans="1:15">
      <c r="A74" s="311" t="s">
        <v>43</v>
      </c>
      <c r="B74" s="312">
        <v>41370</v>
      </c>
      <c r="C74" s="239">
        <f t="shared" si="24"/>
        <v>6.3354561319698723E-4</v>
      </c>
      <c r="D74" s="278">
        <f t="shared" si="19"/>
        <v>1.4587961493705702E-4</v>
      </c>
      <c r="E74" s="312"/>
      <c r="F74" s="224">
        <f t="shared" si="25"/>
        <v>0</v>
      </c>
      <c r="G74" s="278">
        <f t="shared" si="20"/>
        <v>0</v>
      </c>
      <c r="H74" s="247">
        <f>E74-B74</f>
        <v>-41370</v>
      </c>
      <c r="I74" s="309">
        <f t="shared" si="4"/>
        <v>-100</v>
      </c>
      <c r="J74" s="312"/>
      <c r="K74" s="224">
        <f t="shared" si="21"/>
        <v>0</v>
      </c>
      <c r="L74" s="278">
        <f t="shared" si="22"/>
        <v>0</v>
      </c>
      <c r="M74" s="312"/>
      <c r="N74" s="224"/>
      <c r="O74" s="278">
        <f t="shared" si="23"/>
        <v>0</v>
      </c>
    </row>
    <row r="75" spans="1:15">
      <c r="A75" s="120" t="s">
        <v>80</v>
      </c>
      <c r="B75" s="136">
        <v>97049064</v>
      </c>
      <c r="C75" s="240">
        <f t="shared" si="24"/>
        <v>1.4862221117252514</v>
      </c>
      <c r="D75" s="278">
        <f t="shared" si="19"/>
        <v>0.34221610070876968</v>
      </c>
      <c r="E75" s="136">
        <v>115107948</v>
      </c>
      <c r="F75" s="62">
        <f t="shared" si="25"/>
        <v>1.6724947048383694</v>
      </c>
      <c r="G75" s="278">
        <f t="shared" si="20"/>
        <v>0.37125608127721338</v>
      </c>
      <c r="H75" s="247">
        <f t="shared" ref="H75:H137" si="26">E75-B75</f>
        <v>18058884</v>
      </c>
      <c r="I75" s="309">
        <f t="shared" si="4"/>
        <v>18.607993993636043</v>
      </c>
      <c r="J75" s="136">
        <v>90293363</v>
      </c>
      <c r="K75" s="62">
        <f t="shared" si="21"/>
        <v>1.2682278417142523</v>
      </c>
      <c r="L75" s="278">
        <f t="shared" si="22"/>
        <v>0.27517557980068874</v>
      </c>
      <c r="M75" s="136">
        <v>95915299</v>
      </c>
      <c r="N75" s="62"/>
      <c r="O75" s="278">
        <f t="shared" si="23"/>
        <v>0.27701169386281593</v>
      </c>
    </row>
    <row r="76" spans="1:15" ht="26.25">
      <c r="A76" s="122" t="s">
        <v>44</v>
      </c>
      <c r="B76" s="290">
        <v>0</v>
      </c>
      <c r="C76" s="239">
        <f t="shared" si="24"/>
        <v>0</v>
      </c>
      <c r="D76" s="278">
        <f t="shared" si="19"/>
        <v>0</v>
      </c>
      <c r="E76" s="290">
        <v>1093307</v>
      </c>
      <c r="F76" s="62">
        <f t="shared" si="25"/>
        <v>1.588552484892462E-2</v>
      </c>
      <c r="G76" s="278">
        <f t="shared" si="20"/>
        <v>3.5262280277374614E-3</v>
      </c>
      <c r="H76" s="247">
        <f t="shared" si="26"/>
        <v>1093307</v>
      </c>
      <c r="I76" s="298" t="s">
        <v>137</v>
      </c>
      <c r="J76" s="290"/>
      <c r="K76" s="62">
        <f t="shared" si="21"/>
        <v>0</v>
      </c>
      <c r="L76" s="278">
        <f t="shared" si="22"/>
        <v>0</v>
      </c>
      <c r="M76" s="290">
        <v>192300</v>
      </c>
      <c r="N76" s="62"/>
      <c r="O76" s="278">
        <f t="shared" si="23"/>
        <v>5.5537906137184114E-4</v>
      </c>
    </row>
    <row r="77" spans="1:15">
      <c r="A77" s="138" t="s">
        <v>99</v>
      </c>
      <c r="B77" s="132">
        <f>B78+B81</f>
        <v>668383816</v>
      </c>
      <c r="C77" s="62">
        <f t="shared" si="24"/>
        <v>10.235717538280452</v>
      </c>
      <c r="D77" s="278">
        <f t="shared" si="19"/>
        <v>2.3568666596142318</v>
      </c>
      <c r="E77" s="132">
        <v>694688569</v>
      </c>
      <c r="F77" s="62">
        <f t="shared" si="25"/>
        <v>10.093681395173896</v>
      </c>
      <c r="G77" s="278">
        <f t="shared" si="20"/>
        <v>2.2405694855668439</v>
      </c>
      <c r="H77" s="247">
        <f t="shared" si="26"/>
        <v>26304753</v>
      </c>
      <c r="I77" s="309">
        <f t="shared" si="4"/>
        <v>3.9355759924623896</v>
      </c>
      <c r="J77" s="132">
        <v>699811351</v>
      </c>
      <c r="K77" s="62">
        <f t="shared" si="21"/>
        <v>9.8292965263223717</v>
      </c>
      <c r="L77" s="278">
        <f t="shared" si="22"/>
        <v>2.1327259043671711</v>
      </c>
      <c r="M77" s="132">
        <v>691271344</v>
      </c>
      <c r="N77" s="62"/>
      <c r="O77" s="278">
        <f t="shared" si="23"/>
        <v>1.9964515350180507</v>
      </c>
    </row>
    <row r="78" spans="1:15">
      <c r="A78" s="115" t="s">
        <v>79</v>
      </c>
      <c r="B78" s="134">
        <v>622131142</v>
      </c>
      <c r="C78" s="243">
        <f t="shared" si="24"/>
        <v>9.5273980141970505</v>
      </c>
      <c r="D78" s="278">
        <f t="shared" si="19"/>
        <v>2.1937696745301318</v>
      </c>
      <c r="E78" s="134">
        <v>649417837</v>
      </c>
      <c r="F78" s="62">
        <f t="shared" si="25"/>
        <v>9.435907011478367</v>
      </c>
      <c r="G78" s="278">
        <f t="shared" si="20"/>
        <v>2.0945584163844542</v>
      </c>
      <c r="H78" s="247">
        <f t="shared" si="26"/>
        <v>27286695</v>
      </c>
      <c r="I78" s="309">
        <f t="shared" si="4"/>
        <v>4.3860037149530768</v>
      </c>
      <c r="J78" s="134">
        <v>662474347</v>
      </c>
      <c r="K78" s="62">
        <f t="shared" si="21"/>
        <v>9.3048745043073495</v>
      </c>
      <c r="L78" s="278">
        <f t="shared" si="22"/>
        <v>2.0189386736964008</v>
      </c>
      <c r="M78" s="134">
        <v>663562437</v>
      </c>
      <c r="N78" s="62"/>
      <c r="O78" s="278">
        <f t="shared" si="23"/>
        <v>1.9164258108303249</v>
      </c>
    </row>
    <row r="79" spans="1:15">
      <c r="A79" s="142" t="s">
        <v>12</v>
      </c>
      <c r="B79" s="228">
        <v>186345093</v>
      </c>
      <c r="C79" s="233">
        <f t="shared" si="24"/>
        <v>2.853713227240382</v>
      </c>
      <c r="D79" s="278">
        <f t="shared" si="19"/>
        <v>0.65709331429175932</v>
      </c>
      <c r="E79" s="228">
        <v>199034611</v>
      </c>
      <c r="F79" s="62">
        <f t="shared" si="25"/>
        <v>2.8919317802195961</v>
      </c>
      <c r="G79" s="278">
        <f t="shared" si="20"/>
        <v>0.64194359296887593</v>
      </c>
      <c r="H79" s="247">
        <f t="shared" si="26"/>
        <v>12689518</v>
      </c>
      <c r="I79" s="309">
        <f t="shared" si="4"/>
        <v>6.8096872290594774</v>
      </c>
      <c r="J79" s="228">
        <v>199901731</v>
      </c>
      <c r="K79" s="62">
        <f t="shared" si="21"/>
        <v>2.8077472411906177</v>
      </c>
      <c r="L79" s="278">
        <f t="shared" si="22"/>
        <v>0.60921503977082259</v>
      </c>
      <c r="M79" s="228">
        <v>198223788</v>
      </c>
      <c r="N79" s="62"/>
      <c r="O79" s="278">
        <f t="shared" si="23"/>
        <v>0.57248747436823111</v>
      </c>
    </row>
    <row r="80" spans="1:15">
      <c r="A80" s="311" t="s">
        <v>147</v>
      </c>
      <c r="B80" s="141">
        <v>163894</v>
      </c>
      <c r="C80" s="243">
        <f t="shared" si="24"/>
        <v>2.5098942404956979E-3</v>
      </c>
      <c r="D80" s="278">
        <f t="shared" si="19"/>
        <v>5.7792587890969358E-4</v>
      </c>
      <c r="E80" s="141">
        <v>172472</v>
      </c>
      <c r="F80" s="62">
        <f t="shared" si="25"/>
        <v>2.5059825298326338E-3</v>
      </c>
      <c r="G80" s="278">
        <f t="shared" si="20"/>
        <v>5.562715691017578E-4</v>
      </c>
      <c r="H80" s="247">
        <f t="shared" si="26"/>
        <v>8578</v>
      </c>
      <c r="I80" s="309">
        <f t="shared" si="4"/>
        <v>5.2338706725078481</v>
      </c>
      <c r="J80" s="141"/>
      <c r="K80" s="62">
        <f t="shared" si="21"/>
        <v>0</v>
      </c>
      <c r="L80" s="278">
        <f t="shared" si="22"/>
        <v>0</v>
      </c>
      <c r="M80" s="141"/>
      <c r="N80" s="62"/>
      <c r="O80" s="278">
        <f t="shared" si="23"/>
        <v>0</v>
      </c>
    </row>
    <row r="81" spans="1:15">
      <c r="A81" s="120" t="s">
        <v>80</v>
      </c>
      <c r="B81" s="136">
        <v>46252674</v>
      </c>
      <c r="C81" s="240">
        <f t="shared" si="24"/>
        <v>0.70831952408340215</v>
      </c>
      <c r="D81" s="278">
        <f t="shared" si="19"/>
        <v>0.16309698508410028</v>
      </c>
      <c r="E81" s="136">
        <v>45270732</v>
      </c>
      <c r="F81" s="62">
        <f t="shared" si="25"/>
        <v>0.65777438369552832</v>
      </c>
      <c r="G81" s="278">
        <f t="shared" si="20"/>
        <v>0.14601106918238993</v>
      </c>
      <c r="H81" s="247">
        <f t="shared" si="26"/>
        <v>-981942</v>
      </c>
      <c r="I81" s="309">
        <f t="shared" si="4"/>
        <v>-2.1229950942944384</v>
      </c>
      <c r="J81" s="136">
        <v>37337004</v>
      </c>
      <c r="K81" s="62">
        <f t="shared" si="21"/>
        <v>0.5244220220150223</v>
      </c>
      <c r="L81" s="278">
        <f t="shared" si="22"/>
        <v>0.11378723067077075</v>
      </c>
      <c r="M81" s="136">
        <v>27708907</v>
      </c>
      <c r="N81" s="62"/>
      <c r="O81" s="278">
        <f t="shared" si="23"/>
        <v>8.0025724187725633E-2</v>
      </c>
    </row>
    <row r="82" spans="1:15" ht="26.25">
      <c r="A82" s="122" t="s">
        <v>44</v>
      </c>
      <c r="B82" s="290">
        <v>339993</v>
      </c>
      <c r="C82" s="239">
        <f t="shared" si="24"/>
        <v>5.2066974538961391E-3</v>
      </c>
      <c r="D82" s="278">
        <f t="shared" si="19"/>
        <v>1.1988892415106314E-3</v>
      </c>
      <c r="E82" s="290">
        <v>288589</v>
      </c>
      <c r="F82" s="62">
        <f t="shared" si="25"/>
        <v>4.1931385517757656E-3</v>
      </c>
      <c r="G82" s="278">
        <f t="shared" si="20"/>
        <v>9.3078213191420732E-4</v>
      </c>
      <c r="H82" s="247">
        <f t="shared" si="26"/>
        <v>-51404</v>
      </c>
      <c r="I82" s="309">
        <f t="shared" ref="I82:I99" si="27">E82/B82*100-100</f>
        <v>-15.119134805716584</v>
      </c>
      <c r="J82" s="290">
        <v>987180</v>
      </c>
      <c r="K82" s="62">
        <f t="shared" si="21"/>
        <v>1.3865572387457488E-2</v>
      </c>
      <c r="L82" s="278">
        <f t="shared" si="22"/>
        <v>3.0085027275774845E-3</v>
      </c>
      <c r="M82" s="290"/>
      <c r="N82" s="62"/>
      <c r="O82" s="278">
        <f t="shared" si="23"/>
        <v>0</v>
      </c>
    </row>
    <row r="83" spans="1:15">
      <c r="A83" s="311" t="s">
        <v>43</v>
      </c>
      <c r="B83" s="141">
        <v>189198</v>
      </c>
      <c r="C83" s="243">
        <f t="shared" si="24"/>
        <v>2.8974030197158229E-3</v>
      </c>
      <c r="D83" s="278">
        <f t="shared" si="19"/>
        <v>6.6715328467153285E-4</v>
      </c>
      <c r="E83" s="141">
        <v>472616</v>
      </c>
      <c r="F83" s="62">
        <f t="shared" si="25"/>
        <v>6.8670128445160955E-3</v>
      </c>
      <c r="G83" s="278">
        <f t="shared" si="20"/>
        <v>1.5243218835671666E-3</v>
      </c>
      <c r="H83" s="247">
        <f t="shared" si="26"/>
        <v>283418</v>
      </c>
      <c r="I83" s="309">
        <f t="shared" si="27"/>
        <v>149.7996807577247</v>
      </c>
      <c r="J83" s="141"/>
      <c r="K83" s="62">
        <f t="shared" si="21"/>
        <v>0</v>
      </c>
      <c r="L83" s="278">
        <f t="shared" si="22"/>
        <v>0</v>
      </c>
      <c r="M83" s="141"/>
      <c r="N83" s="62"/>
      <c r="O83" s="278">
        <f t="shared" si="23"/>
        <v>0</v>
      </c>
    </row>
    <row r="84" spans="1:15">
      <c r="A84" s="139" t="s">
        <v>100</v>
      </c>
      <c r="B84" s="132">
        <f>B85+B87</f>
        <v>230820082</v>
      </c>
      <c r="C84" s="62">
        <f t="shared" si="24"/>
        <v>3.5348090497671949</v>
      </c>
      <c r="D84" s="278">
        <f t="shared" si="19"/>
        <v>0.81392179554991373</v>
      </c>
      <c r="E84" s="132">
        <v>254382097</v>
      </c>
      <c r="F84" s="62">
        <f t="shared" si="25"/>
        <v>3.6961193178266059</v>
      </c>
      <c r="G84" s="278">
        <f t="shared" si="20"/>
        <v>0.8204550782131913</v>
      </c>
      <c r="H84" s="247">
        <f t="shared" si="26"/>
        <v>23562015</v>
      </c>
      <c r="I84" s="309">
        <f t="shared" si="27"/>
        <v>10.207957122205684</v>
      </c>
      <c r="J84" s="132">
        <v>257362396</v>
      </c>
      <c r="K84" s="62">
        <f t="shared" si="21"/>
        <v>3.6148189099733572</v>
      </c>
      <c r="L84" s="278">
        <f t="shared" si="22"/>
        <v>0.7843305884862708</v>
      </c>
      <c r="M84" s="132">
        <v>274385260</v>
      </c>
      <c r="N84" s="62"/>
      <c r="O84" s="278">
        <f t="shared" si="23"/>
        <v>0.79244840433212982</v>
      </c>
    </row>
    <row r="85" spans="1:15">
      <c r="A85" s="115" t="s">
        <v>79</v>
      </c>
      <c r="B85" s="134">
        <f>225709698+448862</f>
        <v>226158560</v>
      </c>
      <c r="C85" s="243">
        <f t="shared" si="24"/>
        <v>3.4634218896530724</v>
      </c>
      <c r="D85" s="278">
        <f t="shared" si="19"/>
        <v>0.79748425543919033</v>
      </c>
      <c r="E85" s="134">
        <v>248916790</v>
      </c>
      <c r="F85" s="62">
        <f t="shared" si="25"/>
        <v>3.6167095361682966</v>
      </c>
      <c r="G85" s="278">
        <f t="shared" si="20"/>
        <v>0.8028278987260119</v>
      </c>
      <c r="H85" s="247">
        <f t="shared" si="26"/>
        <v>22758230</v>
      </c>
      <c r="I85" s="309">
        <f t="shared" si="27"/>
        <v>10.062953177628998</v>
      </c>
      <c r="J85" s="134">
        <v>252198339</v>
      </c>
      <c r="K85" s="62">
        <f t="shared" si="21"/>
        <v>3.5422864375301795</v>
      </c>
      <c r="L85" s="278">
        <f t="shared" si="22"/>
        <v>0.76859274982476455</v>
      </c>
      <c r="M85" s="134">
        <v>269885125</v>
      </c>
      <c r="N85" s="62"/>
      <c r="O85" s="278">
        <f t="shared" si="23"/>
        <v>0.7794516245487364</v>
      </c>
    </row>
    <row r="86" spans="1:15">
      <c r="A86" s="142" t="s">
        <v>12</v>
      </c>
      <c r="B86" s="134"/>
      <c r="C86" s="243">
        <f t="shared" si="24"/>
        <v>0</v>
      </c>
      <c r="D86" s="278">
        <f t="shared" si="19"/>
        <v>0</v>
      </c>
      <c r="E86" s="134">
        <v>375</v>
      </c>
      <c r="F86" s="62">
        <f t="shared" si="25"/>
        <v>5.4486725305396677E-6</v>
      </c>
      <c r="G86" s="278">
        <f t="shared" si="20"/>
        <v>1.2094823415578131E-6</v>
      </c>
      <c r="H86" s="247"/>
      <c r="I86" s="298" t="s">
        <v>137</v>
      </c>
      <c r="J86" s="134"/>
      <c r="K86" s="62">
        <f t="shared" si="21"/>
        <v>0</v>
      </c>
      <c r="L86" s="278">
        <f t="shared" si="22"/>
        <v>0</v>
      </c>
      <c r="M86" s="134"/>
      <c r="N86" s="62"/>
      <c r="O86" s="278">
        <f t="shared" si="23"/>
        <v>0</v>
      </c>
    </row>
    <row r="87" spans="1:15">
      <c r="A87" s="120" t="s">
        <v>80</v>
      </c>
      <c r="B87" s="136">
        <v>4661522</v>
      </c>
      <c r="C87" s="240">
        <f t="shared" si="24"/>
        <v>7.1387160114122467E-2</v>
      </c>
      <c r="D87" s="278">
        <f t="shared" si="19"/>
        <v>1.6437540110723226E-2</v>
      </c>
      <c r="E87" s="136">
        <v>5465307</v>
      </c>
      <c r="F87" s="62">
        <f t="shared" si="25"/>
        <v>7.9409781658309753E-2</v>
      </c>
      <c r="G87" s="278">
        <f t="shared" si="20"/>
        <v>1.7627179487179484E-2</v>
      </c>
      <c r="H87" s="247">
        <f t="shared" si="26"/>
        <v>803785</v>
      </c>
      <c r="I87" s="309">
        <f t="shared" si="27"/>
        <v>17.242973432282426</v>
      </c>
      <c r="J87" s="136">
        <v>5164057</v>
      </c>
      <c r="K87" s="62">
        <f t="shared" si="21"/>
        <v>7.2532472443178092E-2</v>
      </c>
      <c r="L87" s="278">
        <f t="shared" si="22"/>
        <v>1.5737838661506114E-2</v>
      </c>
      <c r="M87" s="136">
        <v>4500135</v>
      </c>
      <c r="N87" s="62"/>
      <c r="O87" s="278">
        <f t="shared" si="23"/>
        <v>1.2996779783393499E-2</v>
      </c>
    </row>
    <row r="88" spans="1:15" ht="26.25">
      <c r="A88" s="122" t="s">
        <v>44</v>
      </c>
      <c r="B88" s="290">
        <v>281750</v>
      </c>
      <c r="C88" s="239">
        <f t="shared" si="24"/>
        <v>4.3147565027375186E-3</v>
      </c>
      <c r="D88" s="278">
        <f t="shared" si="19"/>
        <v>9.9351175993511774E-4</v>
      </c>
      <c r="E88" s="290">
        <v>305858</v>
      </c>
      <c r="F88" s="62">
        <f t="shared" si="25"/>
        <v>4.4440535542554713E-3</v>
      </c>
      <c r="G88" s="278">
        <f t="shared" si="20"/>
        <v>9.8647960006450586E-4</v>
      </c>
      <c r="H88" s="247">
        <f t="shared" si="26"/>
        <v>24108</v>
      </c>
      <c r="I88" s="309">
        <f t="shared" si="27"/>
        <v>8.5565217391304458</v>
      </c>
      <c r="J88" s="290">
        <v>4841</v>
      </c>
      <c r="K88" s="62">
        <f t="shared" si="21"/>
        <v>6.7994930942362789E-5</v>
      </c>
      <c r="L88" s="278">
        <f t="shared" si="22"/>
        <v>1.4753298997348615E-5</v>
      </c>
      <c r="M88" s="290">
        <v>6187</v>
      </c>
      <c r="N88" s="62"/>
      <c r="O88" s="278">
        <f t="shared" si="23"/>
        <v>1.7868592057761737E-5</v>
      </c>
    </row>
    <row r="89" spans="1:15">
      <c r="A89" s="314" t="s">
        <v>101</v>
      </c>
      <c r="B89" s="132">
        <f>B90+B93</f>
        <v>98709621</v>
      </c>
      <c r="C89" s="62">
        <f t="shared" si="24"/>
        <v>1.5116520997072083</v>
      </c>
      <c r="D89" s="278">
        <f t="shared" si="19"/>
        <v>0.34807158573997671</v>
      </c>
      <c r="E89" s="132">
        <v>129113472</v>
      </c>
      <c r="F89" s="62">
        <f t="shared" si="25"/>
        <v>1.8759920752240069</v>
      </c>
      <c r="G89" s="278">
        <f t="shared" si="20"/>
        <v>0.4164279051765844</v>
      </c>
      <c r="H89" s="247">
        <f t="shared" si="26"/>
        <v>30403851</v>
      </c>
      <c r="I89" s="309">
        <f t="shared" si="27"/>
        <v>30.801304565843679</v>
      </c>
      <c r="J89" s="132">
        <v>78486050</v>
      </c>
      <c r="K89" s="62">
        <f t="shared" si="21"/>
        <v>1.1023866039431591</v>
      </c>
      <c r="L89" s="278">
        <f t="shared" si="22"/>
        <v>0.23919193612287815</v>
      </c>
      <c r="M89" s="132">
        <v>70765142</v>
      </c>
      <c r="N89" s="62"/>
      <c r="O89" s="278">
        <f t="shared" si="23"/>
        <v>0.20437586137184116</v>
      </c>
    </row>
    <row r="90" spans="1:15">
      <c r="A90" s="115" t="s">
        <v>79</v>
      </c>
      <c r="B90" s="134">
        <v>59961444</v>
      </c>
      <c r="C90" s="243">
        <f t="shared" si="24"/>
        <v>0.91825742826098167</v>
      </c>
      <c r="D90" s="278">
        <f t="shared" si="19"/>
        <v>0.21143708875489267</v>
      </c>
      <c r="E90" s="134">
        <v>52146811</v>
      </c>
      <c r="F90" s="62">
        <f t="shared" si="25"/>
        <v>0.75768239106918345</v>
      </c>
      <c r="G90" s="278">
        <f t="shared" si="20"/>
        <v>0.1681883921948073</v>
      </c>
      <c r="H90" s="247">
        <f t="shared" si="26"/>
        <v>-7814633</v>
      </c>
      <c r="I90" s="309">
        <f t="shared" si="27"/>
        <v>-13.032763186957268</v>
      </c>
      <c r="J90" s="134">
        <v>42902452</v>
      </c>
      <c r="K90" s="62">
        <f t="shared" si="21"/>
        <v>0.60259228692378319</v>
      </c>
      <c r="L90" s="278">
        <f t="shared" si="22"/>
        <v>0.13074833754914211</v>
      </c>
      <c r="M90" s="134">
        <v>41549352</v>
      </c>
      <c r="N90" s="62"/>
      <c r="O90" s="278">
        <f t="shared" si="23"/>
        <v>0.11999812851985558</v>
      </c>
    </row>
    <row r="91" spans="1:15">
      <c r="A91" s="310" t="s">
        <v>12</v>
      </c>
      <c r="B91" s="228">
        <v>375</v>
      </c>
      <c r="C91" s="233">
        <f t="shared" si="24"/>
        <v>5.7427992494288185E-6</v>
      </c>
      <c r="D91" s="278">
        <f t="shared" si="19"/>
        <v>1.3223315349624457E-6</v>
      </c>
      <c r="E91" s="228">
        <v>374</v>
      </c>
      <c r="F91" s="62">
        <f t="shared" si="25"/>
        <v>5.4341427371248955E-6</v>
      </c>
      <c r="G91" s="278">
        <f t="shared" si="20"/>
        <v>1.206257055313659E-6</v>
      </c>
      <c r="H91" s="247">
        <f t="shared" si="26"/>
        <v>-1</v>
      </c>
      <c r="I91" s="309">
        <f t="shared" si="27"/>
        <v>-0.26666666666666572</v>
      </c>
      <c r="J91" s="228">
        <v>374</v>
      </c>
      <c r="K91" s="62">
        <f t="shared" si="21"/>
        <v>5.2530684099243296E-6</v>
      </c>
      <c r="L91" s="278">
        <f t="shared" si="22"/>
        <v>1.1397921555481058E-6</v>
      </c>
      <c r="M91" s="228">
        <v>374</v>
      </c>
      <c r="N91" s="62"/>
      <c r="O91" s="278">
        <f t="shared" si="23"/>
        <v>1.0801444043321298E-6</v>
      </c>
    </row>
    <row r="92" spans="1:15">
      <c r="A92" s="311" t="s">
        <v>43</v>
      </c>
      <c r="B92" s="312">
        <v>115122</v>
      </c>
      <c r="C92" s="243">
        <f t="shared" si="24"/>
        <v>1.7629934271806518E-3</v>
      </c>
      <c r="D92" s="278">
        <f t="shared" si="19"/>
        <v>4.0594520258119119E-4</v>
      </c>
      <c r="E92" s="312">
        <v>209615</v>
      </c>
      <c r="F92" s="62">
        <f t="shared" si="25"/>
        <v>3.0456626466375267E-3</v>
      </c>
      <c r="G92" s="278">
        <f t="shared" si="20"/>
        <v>6.7606837606837603E-4</v>
      </c>
      <c r="H92" s="247">
        <f t="shared" si="26"/>
        <v>94493</v>
      </c>
      <c r="I92" s="309">
        <f t="shared" si="27"/>
        <v>82.080749118326622</v>
      </c>
      <c r="J92" s="312">
        <v>26219</v>
      </c>
      <c r="K92" s="62">
        <f t="shared" si="21"/>
        <v>3.6826256855563107E-4</v>
      </c>
      <c r="L92" s="278">
        <f t="shared" si="22"/>
        <v>7.9904306220095694E-5</v>
      </c>
      <c r="M92" s="312"/>
      <c r="N92" s="62"/>
      <c r="O92" s="278">
        <f t="shared" si="23"/>
        <v>0</v>
      </c>
    </row>
    <row r="93" spans="1:15">
      <c r="A93" s="120" t="s">
        <v>80</v>
      </c>
      <c r="B93" s="136">
        <v>38748177</v>
      </c>
      <c r="C93" s="240">
        <f t="shared" si="24"/>
        <v>0.59339467144622671</v>
      </c>
      <c r="D93" s="278">
        <f t="shared" si="19"/>
        <v>0.13663449698508409</v>
      </c>
      <c r="E93" s="136">
        <v>76966661</v>
      </c>
      <c r="F93" s="62">
        <f t="shared" si="25"/>
        <v>1.1183096841548235</v>
      </c>
      <c r="G93" s="278">
        <f t="shared" si="20"/>
        <v>0.24823951298177713</v>
      </c>
      <c r="H93" s="247">
        <f t="shared" si="26"/>
        <v>38218484</v>
      </c>
      <c r="I93" s="309">
        <f t="shared" si="27"/>
        <v>98.632986011187057</v>
      </c>
      <c r="J93" s="136">
        <v>35583598</v>
      </c>
      <c r="K93" s="62">
        <f t="shared" si="21"/>
        <v>0.49979431701937588</v>
      </c>
      <c r="L93" s="278">
        <f t="shared" si="22"/>
        <v>0.10844359857373602</v>
      </c>
      <c r="M93" s="136">
        <v>29215790</v>
      </c>
      <c r="N93" s="62"/>
      <c r="O93" s="278">
        <f t="shared" si="23"/>
        <v>8.4377732851985562E-2</v>
      </c>
    </row>
    <row r="94" spans="1:15" ht="26.25">
      <c r="A94" s="288" t="s">
        <v>44</v>
      </c>
      <c r="B94" s="290">
        <v>258188</v>
      </c>
      <c r="C94" s="239">
        <f t="shared" si="24"/>
        <v>3.9539249402974069E-3</v>
      </c>
      <c r="D94" s="278">
        <f t="shared" si="19"/>
        <v>9.1042702493035715E-4</v>
      </c>
      <c r="E94" s="290">
        <v>691794</v>
      </c>
      <c r="F94" s="62">
        <f t="shared" si="25"/>
        <v>1.005162390557909E-2</v>
      </c>
      <c r="G94" s="278">
        <f t="shared" si="20"/>
        <v>2.231233671988389E-3</v>
      </c>
      <c r="H94" s="247">
        <f t="shared" si="26"/>
        <v>433606</v>
      </c>
      <c r="I94" s="309">
        <f t="shared" si="27"/>
        <v>167.94196476985763</v>
      </c>
      <c r="J94" s="290">
        <v>770139</v>
      </c>
      <c r="K94" s="62">
        <f t="shared" si="21"/>
        <v>1.0817093187568752E-2</v>
      </c>
      <c r="L94" s="278">
        <f t="shared" si="22"/>
        <v>2.3470545210739647E-3</v>
      </c>
      <c r="M94" s="290">
        <v>2269556</v>
      </c>
      <c r="N94" s="62"/>
      <c r="O94" s="278">
        <f t="shared" si="23"/>
        <v>6.5546743682310463E-3</v>
      </c>
    </row>
    <row r="95" spans="1:15">
      <c r="A95" s="311" t="s">
        <v>43</v>
      </c>
      <c r="B95" s="312">
        <v>1462563</v>
      </c>
      <c r="C95" s="239">
        <f t="shared" si="24"/>
        <v>2.2397881863046296E-2</v>
      </c>
      <c r="D95" s="278">
        <f t="shared" si="19"/>
        <v>5.1573151380514114E-3</v>
      </c>
      <c r="E95" s="312">
        <v>9019795</v>
      </c>
      <c r="F95" s="62">
        <f t="shared" si="25"/>
        <v>0.13105575799359745</v>
      </c>
      <c r="G95" s="278">
        <f t="shared" si="20"/>
        <v>2.909142073859055E-2</v>
      </c>
      <c r="H95" s="247">
        <f t="shared" si="26"/>
        <v>7557232</v>
      </c>
      <c r="I95" s="309">
        <f t="shared" si="27"/>
        <v>516.71155362196362</v>
      </c>
      <c r="J95" s="312">
        <v>1199728</v>
      </c>
      <c r="K95" s="62">
        <f t="shared" si="21"/>
        <v>1.6850944538239831E-2</v>
      </c>
      <c r="L95" s="278">
        <f t="shared" si="22"/>
        <v>3.6562581903513852E-3</v>
      </c>
      <c r="M95" s="312">
        <v>11186</v>
      </c>
      <c r="N95" s="62"/>
      <c r="O95" s="278">
        <f t="shared" si="23"/>
        <v>3.2306137184115527E-5</v>
      </c>
    </row>
    <row r="96" spans="1:15">
      <c r="A96" s="139" t="s">
        <v>102</v>
      </c>
      <c r="B96" s="132">
        <f>B97+B99</f>
        <v>181991131</v>
      </c>
      <c r="C96" s="62">
        <f t="shared" si="24"/>
        <v>2.7870360813586714</v>
      </c>
      <c r="D96" s="278">
        <f t="shared" si="19"/>
        <v>0.64174029761275075</v>
      </c>
      <c r="E96" s="132">
        <v>165418836</v>
      </c>
      <c r="F96" s="62">
        <f t="shared" si="25"/>
        <v>2.4035015139921234</v>
      </c>
      <c r="G96" s="278">
        <f t="shared" si="20"/>
        <v>0.53352309627479433</v>
      </c>
      <c r="H96" s="247">
        <f t="shared" si="26"/>
        <v>-16572295</v>
      </c>
      <c r="I96" s="309">
        <f t="shared" si="27"/>
        <v>-9.1061003406808823</v>
      </c>
      <c r="J96" s="132">
        <v>162456932</v>
      </c>
      <c r="K96" s="62">
        <f t="shared" si="21"/>
        <v>2.2818111696856285</v>
      </c>
      <c r="L96" s="278">
        <f t="shared" si="22"/>
        <v>0.49509929601072744</v>
      </c>
      <c r="M96" s="132">
        <v>154014440</v>
      </c>
      <c r="N96" s="62"/>
      <c r="O96" s="278">
        <f t="shared" si="23"/>
        <v>0.44480704693140799</v>
      </c>
    </row>
    <row r="97" spans="1:15">
      <c r="A97" s="115" t="s">
        <v>79</v>
      </c>
      <c r="B97" s="134">
        <f>170611323+11883</f>
        <v>170623206</v>
      </c>
      <c r="C97" s="243">
        <f t="shared" si="24"/>
        <v>2.6129461849385032</v>
      </c>
      <c r="D97" s="278">
        <f t="shared" si="19"/>
        <v>0.60165452237384964</v>
      </c>
      <c r="E97" s="134">
        <v>155547670</v>
      </c>
      <c r="F97" s="62">
        <f t="shared" si="25"/>
        <v>2.2600755112491977</v>
      </c>
      <c r="G97" s="278">
        <f t="shared" si="20"/>
        <v>0.50168576036123202</v>
      </c>
      <c r="H97" s="247">
        <f t="shared" si="26"/>
        <v>-15075536</v>
      </c>
      <c r="I97" s="309">
        <f t="shared" si="27"/>
        <v>-8.8355718740861136</v>
      </c>
      <c r="J97" s="134">
        <v>157586273</v>
      </c>
      <c r="K97" s="62">
        <f t="shared" si="21"/>
        <v>2.2133996591818486</v>
      </c>
      <c r="L97" s="278">
        <f t="shared" si="22"/>
        <v>0.48025560905738579</v>
      </c>
      <c r="M97" s="134">
        <v>153419892</v>
      </c>
      <c r="N97" s="62"/>
      <c r="O97" s="278">
        <f t="shared" si="23"/>
        <v>0.44308994079422387</v>
      </c>
    </row>
    <row r="98" spans="1:15">
      <c r="A98" s="311" t="s">
        <v>43</v>
      </c>
      <c r="B98" s="312">
        <v>4453778</v>
      </c>
      <c r="C98" s="239">
        <f t="shared" si="24"/>
        <v>6.8205741214726889E-2</v>
      </c>
      <c r="D98" s="278">
        <f t="shared" si="19"/>
        <v>1.5704989597658592E-2</v>
      </c>
      <c r="E98" s="312">
        <v>2685228</v>
      </c>
      <c r="F98" s="62">
        <f t="shared" si="25"/>
        <v>3.9015808111562592E-2</v>
      </c>
      <c r="G98" s="278">
        <f t="shared" si="20"/>
        <v>8.6606289308176106E-3</v>
      </c>
      <c r="H98" s="247">
        <f t="shared" si="26"/>
        <v>-1768550</v>
      </c>
      <c r="I98" s="309">
        <f t="shared" si="27"/>
        <v>-39.708984147840333</v>
      </c>
      <c r="J98" s="312">
        <v>1457047</v>
      </c>
      <c r="K98" s="62">
        <f t="shared" si="21"/>
        <v>2.0465153923729985E-2</v>
      </c>
      <c r="L98" s="278">
        <f t="shared" si="22"/>
        <v>4.4404565263767414E-3</v>
      </c>
      <c r="M98" s="312">
        <v>1292947</v>
      </c>
      <c r="N98" s="62"/>
      <c r="O98" s="278">
        <f t="shared" si="23"/>
        <v>3.7341429602888083E-3</v>
      </c>
    </row>
    <row r="99" spans="1:15">
      <c r="A99" s="120" t="s">
        <v>80</v>
      </c>
      <c r="B99" s="136">
        <v>11367925</v>
      </c>
      <c r="C99" s="240">
        <f t="shared" si="24"/>
        <v>0.17408989642016826</v>
      </c>
      <c r="D99" s="278">
        <f t="shared" si="19"/>
        <v>4.0085775238901236E-2</v>
      </c>
      <c r="E99" s="136">
        <v>9871166</v>
      </c>
      <c r="F99" s="62">
        <f t="shared" si="25"/>
        <v>0.14342600274292569</v>
      </c>
      <c r="G99" s="278">
        <f t="shared" si="20"/>
        <v>3.1837335913562324E-2</v>
      </c>
      <c r="H99" s="247">
        <f t="shared" si="26"/>
        <v>-1496759</v>
      </c>
      <c r="I99" s="309">
        <f t="shared" si="27"/>
        <v>-13.166510159065965</v>
      </c>
      <c r="J99" s="136">
        <v>4870659</v>
      </c>
      <c r="K99" s="62">
        <f t="shared" si="21"/>
        <v>6.8411510503779749E-2</v>
      </c>
      <c r="L99" s="278">
        <f t="shared" si="22"/>
        <v>1.4843686953341663E-2</v>
      </c>
      <c r="M99" s="136">
        <v>594548</v>
      </c>
      <c r="N99" s="62"/>
      <c r="O99" s="278">
        <f t="shared" si="23"/>
        <v>1.7171061371841153E-3</v>
      </c>
    </row>
    <row r="100" spans="1:15" ht="26.25" hidden="1">
      <c r="A100" s="122" t="s">
        <v>44</v>
      </c>
      <c r="B100" s="290">
        <v>0</v>
      </c>
      <c r="C100" s="239">
        <f t="shared" si="24"/>
        <v>0</v>
      </c>
      <c r="D100" s="278">
        <f t="shared" si="19"/>
        <v>0</v>
      </c>
      <c r="E100" s="290"/>
      <c r="F100" s="62">
        <f t="shared" si="25"/>
        <v>0</v>
      </c>
      <c r="G100" s="278">
        <f t="shared" si="20"/>
        <v>0</v>
      </c>
      <c r="H100" s="247">
        <f t="shared" si="26"/>
        <v>0</v>
      </c>
      <c r="I100" s="298" t="s">
        <v>137</v>
      </c>
      <c r="J100" s="290"/>
      <c r="K100" s="62">
        <f t="shared" si="21"/>
        <v>0</v>
      </c>
      <c r="L100" s="278">
        <f t="shared" si="22"/>
        <v>0</v>
      </c>
      <c r="M100" s="290"/>
      <c r="N100" s="62"/>
      <c r="O100" s="278">
        <f t="shared" si="23"/>
        <v>0</v>
      </c>
    </row>
    <row r="101" spans="1:15" hidden="1">
      <c r="A101" s="311" t="s">
        <v>43</v>
      </c>
      <c r="B101" s="312">
        <v>0</v>
      </c>
      <c r="C101" s="239">
        <f t="shared" si="24"/>
        <v>0</v>
      </c>
      <c r="D101" s="278">
        <f t="shared" ref="D101:D132" si="28">B101/$B$155/1000000*100</f>
        <v>0</v>
      </c>
      <c r="E101" s="312"/>
      <c r="F101" s="224">
        <f t="shared" si="25"/>
        <v>0</v>
      </c>
      <c r="G101" s="278">
        <f t="shared" ref="G101:G132" si="29">E101/$E$155/1000000*100</f>
        <v>0</v>
      </c>
      <c r="H101" s="247">
        <f t="shared" si="26"/>
        <v>0</v>
      </c>
      <c r="I101" s="298" t="s">
        <v>137</v>
      </c>
      <c r="J101" s="312"/>
      <c r="K101" s="224">
        <f t="shared" ref="K101:K132" si="30">J101/$J$138*100</f>
        <v>0</v>
      </c>
      <c r="L101" s="278">
        <f t="shared" ref="L101:L132" si="31">J101/$J$155/1000000*100</f>
        <v>0</v>
      </c>
      <c r="M101" s="312"/>
      <c r="N101" s="224"/>
      <c r="O101" s="278">
        <f t="shared" ref="O101:O132" si="32">M101/$M$155/1000000*100</f>
        <v>0</v>
      </c>
    </row>
    <row r="102" spans="1:15">
      <c r="A102" s="131" t="s">
        <v>103</v>
      </c>
      <c r="B102" s="132">
        <f>B103+B104</f>
        <v>6470731</v>
      </c>
      <c r="C102" s="62">
        <f t="shared" si="24"/>
        <v>9.9093624346815429E-2</v>
      </c>
      <c r="D102" s="278">
        <f t="shared" si="28"/>
        <v>2.2817204414824217E-2</v>
      </c>
      <c r="E102" s="132">
        <v>6750649</v>
      </c>
      <c r="F102" s="62">
        <f t="shared" si="25"/>
        <v>9.8085535385640216E-2</v>
      </c>
      <c r="G102" s="278">
        <f t="shared" si="29"/>
        <v>2.1772775358813095E-2</v>
      </c>
      <c r="H102" s="247">
        <f t="shared" si="26"/>
        <v>279918</v>
      </c>
      <c r="I102" s="309">
        <f t="shared" ref="I102:I147" si="33">E102/B102*100-100</f>
        <v>4.3259100092400757</v>
      </c>
      <c r="J102" s="132">
        <v>6382304</v>
      </c>
      <c r="K102" s="62">
        <f t="shared" si="30"/>
        <v>8.9643528141533924E-2</v>
      </c>
      <c r="L102" s="278">
        <f t="shared" si="31"/>
        <v>1.9450534848992777E-2</v>
      </c>
      <c r="M102" s="132">
        <v>6382304</v>
      </c>
      <c r="N102" s="62"/>
      <c r="O102" s="278">
        <f t="shared" si="32"/>
        <v>1.8432646931407941E-2</v>
      </c>
    </row>
    <row r="103" spans="1:15">
      <c r="A103" s="115" t="s">
        <v>79</v>
      </c>
      <c r="B103" s="134">
        <v>6310731</v>
      </c>
      <c r="C103" s="243">
        <f t="shared" si="24"/>
        <v>9.6643363333725807E-2</v>
      </c>
      <c r="D103" s="278">
        <f t="shared" si="28"/>
        <v>2.2253009626573575E-2</v>
      </c>
      <c r="E103" s="134">
        <v>6690649</v>
      </c>
      <c r="F103" s="62">
        <f t="shared" si="25"/>
        <v>9.7213747780753867E-2</v>
      </c>
      <c r="G103" s="278">
        <f t="shared" si="29"/>
        <v>2.1579258184163844E-2</v>
      </c>
      <c r="H103" s="247">
        <f t="shared" si="26"/>
        <v>379918</v>
      </c>
      <c r="I103" s="309">
        <f t="shared" si="33"/>
        <v>6.0201900540523638</v>
      </c>
      <c r="J103" s="134">
        <v>6382304</v>
      </c>
      <c r="K103" s="62">
        <f t="shared" si="30"/>
        <v>8.9643528141533924E-2</v>
      </c>
      <c r="L103" s="278">
        <f t="shared" si="31"/>
        <v>1.9450534848992777E-2</v>
      </c>
      <c r="M103" s="134">
        <v>6382304</v>
      </c>
      <c r="N103" s="62"/>
      <c r="O103" s="278">
        <f t="shared" si="32"/>
        <v>1.8432646931407941E-2</v>
      </c>
    </row>
    <row r="104" spans="1:15">
      <c r="A104" s="120" t="s">
        <v>80</v>
      </c>
      <c r="B104" s="136">
        <v>160000</v>
      </c>
      <c r="C104" s="240">
        <f t="shared" ref="C104:C135" si="34">B104/$B$138*100</f>
        <v>2.4502610130896288E-3</v>
      </c>
      <c r="D104" s="278">
        <f t="shared" si="28"/>
        <v>5.6419478825064354E-4</v>
      </c>
      <c r="E104" s="136">
        <v>60000</v>
      </c>
      <c r="F104" s="224">
        <f t="shared" si="25"/>
        <v>8.717876048863468E-4</v>
      </c>
      <c r="G104" s="278">
        <f t="shared" si="29"/>
        <v>1.9351717464925012E-4</v>
      </c>
      <c r="H104" s="247">
        <f t="shared" si="26"/>
        <v>-100000</v>
      </c>
      <c r="I104" s="309">
        <f t="shared" si="33"/>
        <v>-62.5</v>
      </c>
      <c r="J104" s="136"/>
      <c r="K104" s="224">
        <f t="shared" si="30"/>
        <v>0</v>
      </c>
      <c r="L104" s="278">
        <f t="shared" si="31"/>
        <v>0</v>
      </c>
      <c r="M104" s="136"/>
      <c r="N104" s="224"/>
      <c r="O104" s="278">
        <f t="shared" si="32"/>
        <v>0</v>
      </c>
    </row>
    <row r="105" spans="1:15">
      <c r="A105" s="147" t="s">
        <v>104</v>
      </c>
      <c r="B105" s="132">
        <f>B106+B107</f>
        <v>1331255</v>
      </c>
      <c r="C105" s="62">
        <f t="shared" si="34"/>
        <v>2.0387013906128966E-2</v>
      </c>
      <c r="D105" s="278">
        <f t="shared" si="28"/>
        <v>4.6942945802038154E-3</v>
      </c>
      <c r="E105" s="132">
        <v>1281040</v>
      </c>
      <c r="F105" s="62">
        <f t="shared" ref="F105:F135" si="35">E105/$E$138*100</f>
        <v>1.8613246556060097E-2</v>
      </c>
      <c r="G105" s="278">
        <f t="shared" si="29"/>
        <v>4.1317206902112564E-3</v>
      </c>
      <c r="H105" s="247">
        <f t="shared" si="26"/>
        <v>-50215</v>
      </c>
      <c r="I105" s="309">
        <f t="shared" si="33"/>
        <v>-3.7720046121892494</v>
      </c>
      <c r="J105" s="132">
        <v>1331255</v>
      </c>
      <c r="K105" s="62">
        <f t="shared" si="30"/>
        <v>1.8698325096400573E-2</v>
      </c>
      <c r="L105" s="278">
        <f t="shared" si="31"/>
        <v>4.0570962728186995E-3</v>
      </c>
      <c r="M105" s="132">
        <v>1331255</v>
      </c>
      <c r="N105" s="62"/>
      <c r="O105" s="278">
        <f t="shared" si="32"/>
        <v>3.844779783393502E-3</v>
      </c>
    </row>
    <row r="106" spans="1:15">
      <c r="A106" s="115" t="s">
        <v>79</v>
      </c>
      <c r="B106" s="134">
        <v>1325704</v>
      </c>
      <c r="C106" s="243">
        <f t="shared" si="34"/>
        <v>2.0302005163106086E-2</v>
      </c>
      <c r="D106" s="278">
        <f t="shared" si="28"/>
        <v>4.6747205472689448E-3</v>
      </c>
      <c r="E106" s="134">
        <v>1275489</v>
      </c>
      <c r="F106" s="62">
        <f t="shared" si="35"/>
        <v>1.8532591672814694E-2</v>
      </c>
      <c r="G106" s="278">
        <f t="shared" si="29"/>
        <v>4.1138171262699559E-3</v>
      </c>
      <c r="H106" s="247">
        <f t="shared" si="26"/>
        <v>-50215</v>
      </c>
      <c r="I106" s="309">
        <f t="shared" si="33"/>
        <v>-3.7877987846457444</v>
      </c>
      <c r="J106" s="134">
        <v>1325704</v>
      </c>
      <c r="K106" s="62">
        <f t="shared" si="30"/>
        <v>1.862035776286183E-2</v>
      </c>
      <c r="L106" s="278">
        <f t="shared" si="31"/>
        <v>4.040179197269375E-3</v>
      </c>
      <c r="M106" s="134">
        <v>1325704</v>
      </c>
      <c r="N106" s="62"/>
      <c r="O106" s="278">
        <f t="shared" si="32"/>
        <v>3.8287480144404331E-3</v>
      </c>
    </row>
    <row r="107" spans="1:15">
      <c r="A107" s="120" t="s">
        <v>80</v>
      </c>
      <c r="B107" s="136">
        <v>5551</v>
      </c>
      <c r="C107" s="285">
        <f t="shared" si="34"/>
        <v>8.5008743022878328E-5</v>
      </c>
      <c r="D107" s="278">
        <f t="shared" si="28"/>
        <v>1.9574032934870765E-5</v>
      </c>
      <c r="E107" s="136">
        <v>5551</v>
      </c>
      <c r="F107" s="285">
        <f t="shared" si="35"/>
        <v>8.0654883245401856E-5</v>
      </c>
      <c r="G107" s="278">
        <f t="shared" si="29"/>
        <v>1.7903563941299791E-5</v>
      </c>
      <c r="H107" s="248">
        <f>E107-B107</f>
        <v>0</v>
      </c>
      <c r="I107" s="309">
        <f t="shared" si="33"/>
        <v>0</v>
      </c>
      <c r="J107" s="136">
        <v>5551</v>
      </c>
      <c r="K107" s="285">
        <f t="shared" si="30"/>
        <v>7.7967333538743195E-5</v>
      </c>
      <c r="L107" s="278">
        <f t="shared" si="31"/>
        <v>1.6917075549324962E-5</v>
      </c>
      <c r="M107" s="136">
        <v>5551</v>
      </c>
      <c r="N107" s="285"/>
      <c r="O107" s="278">
        <f t="shared" si="32"/>
        <v>1.6031768953068591E-5</v>
      </c>
    </row>
    <row r="108" spans="1:15">
      <c r="A108" s="139" t="s">
        <v>105</v>
      </c>
      <c r="B108" s="132">
        <f>B109+B110</f>
        <v>5477410</v>
      </c>
      <c r="C108" s="62">
        <f t="shared" si="34"/>
        <v>8.3881776098170407E-2</v>
      </c>
      <c r="D108" s="278">
        <f t="shared" si="28"/>
        <v>1.9314538594449735E-2</v>
      </c>
      <c r="E108" s="132">
        <v>5722422</v>
      </c>
      <c r="F108" s="62">
        <f t="shared" si="35"/>
        <v>8.3145609492148984E-2</v>
      </c>
      <c r="G108" s="278">
        <f t="shared" si="29"/>
        <v>1.8456448959845186E-2</v>
      </c>
      <c r="H108" s="248">
        <f t="shared" si="26"/>
        <v>245012</v>
      </c>
      <c r="I108" s="309">
        <f t="shared" si="33"/>
        <v>4.4731360259684863</v>
      </c>
      <c r="J108" s="132">
        <v>5930287</v>
      </c>
      <c r="K108" s="62">
        <f t="shared" si="30"/>
        <v>8.329466123391692E-2</v>
      </c>
      <c r="L108" s="278">
        <f t="shared" si="31"/>
        <v>1.8072980221253771E-2</v>
      </c>
      <c r="M108" s="132">
        <v>5984346</v>
      </c>
      <c r="N108" s="62"/>
      <c r="O108" s="278">
        <f t="shared" si="32"/>
        <v>1.7283309747292419E-2</v>
      </c>
    </row>
    <row r="109" spans="1:15">
      <c r="A109" s="115" t="s">
        <v>79</v>
      </c>
      <c r="B109" s="134">
        <v>5477410</v>
      </c>
      <c r="C109" s="243">
        <f t="shared" si="34"/>
        <v>8.3881776098170407E-2</v>
      </c>
      <c r="D109" s="278">
        <f t="shared" si="28"/>
        <v>1.9314538594449735E-2</v>
      </c>
      <c r="E109" s="134">
        <v>5722422</v>
      </c>
      <c r="F109" s="62">
        <f t="shared" si="35"/>
        <v>8.3145609492148984E-2</v>
      </c>
      <c r="G109" s="278">
        <f t="shared" si="29"/>
        <v>1.8456448959845186E-2</v>
      </c>
      <c r="H109" s="248">
        <f t="shared" si="26"/>
        <v>245012</v>
      </c>
      <c r="I109" s="309">
        <f t="shared" si="33"/>
        <v>4.4731360259684863</v>
      </c>
      <c r="J109" s="134">
        <v>5930287</v>
      </c>
      <c r="K109" s="62">
        <f t="shared" si="30"/>
        <v>8.329466123391692E-2</v>
      </c>
      <c r="L109" s="278">
        <f t="shared" si="31"/>
        <v>1.8072980221253771E-2</v>
      </c>
      <c r="M109" s="134">
        <v>5984346</v>
      </c>
      <c r="N109" s="62"/>
      <c r="O109" s="278">
        <f t="shared" si="32"/>
        <v>1.7283309747292419E-2</v>
      </c>
    </row>
    <row r="110" spans="1:15" hidden="1">
      <c r="A110" s="120" t="s">
        <v>80</v>
      </c>
      <c r="B110" s="136">
        <v>0</v>
      </c>
      <c r="C110" s="285">
        <f t="shared" si="34"/>
        <v>0</v>
      </c>
      <c r="D110" s="278">
        <f t="shared" si="28"/>
        <v>0</v>
      </c>
      <c r="E110" s="136"/>
      <c r="F110" s="285">
        <f t="shared" si="35"/>
        <v>0</v>
      </c>
      <c r="G110" s="278">
        <f t="shared" si="29"/>
        <v>0</v>
      </c>
      <c r="H110" s="248">
        <f t="shared" si="26"/>
        <v>0</v>
      </c>
      <c r="I110" s="298" t="s">
        <v>137</v>
      </c>
      <c r="J110" s="136"/>
      <c r="K110" s="285">
        <f t="shared" si="30"/>
        <v>0</v>
      </c>
      <c r="L110" s="278">
        <f t="shared" si="31"/>
        <v>0</v>
      </c>
      <c r="M110" s="136"/>
      <c r="N110" s="285"/>
      <c r="O110" s="278">
        <f t="shared" si="32"/>
        <v>0</v>
      </c>
    </row>
    <row r="111" spans="1:15">
      <c r="A111" s="148" t="s">
        <v>106</v>
      </c>
      <c r="B111" s="132">
        <f>B112+B113</f>
        <v>815823542</v>
      </c>
      <c r="C111" s="62">
        <f t="shared" si="34"/>
        <v>12.49362886577056</v>
      </c>
      <c r="D111" s="278">
        <f t="shared" si="28"/>
        <v>2.8767711908036246</v>
      </c>
      <c r="E111" s="132">
        <v>1170750050</v>
      </c>
      <c r="F111" s="62">
        <f t="shared" si="35"/>
        <v>17.010756366834514</v>
      </c>
      <c r="G111" s="278">
        <f t="shared" si="29"/>
        <v>3.7760040316078056</v>
      </c>
      <c r="H111" s="247">
        <f t="shared" si="26"/>
        <v>354926508</v>
      </c>
      <c r="I111" s="309">
        <f t="shared" si="33"/>
        <v>43.505303503487255</v>
      </c>
      <c r="J111" s="132">
        <v>996310389</v>
      </c>
      <c r="K111" s="62">
        <f t="shared" si="30"/>
        <v>13.993814521217434</v>
      </c>
      <c r="L111" s="278">
        <f t="shared" si="31"/>
        <v>3.0363282509980798</v>
      </c>
      <c r="M111" s="132">
        <v>989203820</v>
      </c>
      <c r="N111" s="62"/>
      <c r="O111" s="278">
        <f t="shared" si="32"/>
        <v>2.8569063393501808</v>
      </c>
    </row>
    <row r="112" spans="1:15">
      <c r="A112" s="115" t="s">
        <v>79</v>
      </c>
      <c r="B112" s="134">
        <f>809750255+56134</f>
        <v>809806389</v>
      </c>
      <c r="C112" s="243">
        <f t="shared" si="34"/>
        <v>12.401481394484964</v>
      </c>
      <c r="D112" s="278">
        <f t="shared" si="28"/>
        <v>2.8555534010367079</v>
      </c>
      <c r="E112" s="134">
        <v>1152136020</v>
      </c>
      <c r="F112" s="62">
        <f t="shared" si="35"/>
        <v>16.740298356318135</v>
      </c>
      <c r="G112" s="278">
        <f t="shared" si="29"/>
        <v>3.7159684567005322</v>
      </c>
      <c r="H112" s="247">
        <f t="shared" si="26"/>
        <v>342329631</v>
      </c>
      <c r="I112" s="309">
        <f t="shared" si="33"/>
        <v>42.273021755574206</v>
      </c>
      <c r="J112" s="134">
        <v>996005108</v>
      </c>
      <c r="K112" s="62">
        <f t="shared" si="30"/>
        <v>13.989526654968104</v>
      </c>
      <c r="L112" s="278">
        <f t="shared" si="31"/>
        <v>3.0353978849846102</v>
      </c>
      <c r="M112" s="134">
        <v>989005108</v>
      </c>
      <c r="N112" s="62"/>
      <c r="O112" s="278">
        <f t="shared" si="32"/>
        <v>2.8563324418772567</v>
      </c>
    </row>
    <row r="113" spans="1:15">
      <c r="A113" s="120" t="s">
        <v>80</v>
      </c>
      <c r="B113" s="136">
        <v>6017153</v>
      </c>
      <c r="C113" s="240">
        <f t="shared" si="34"/>
        <v>9.2147471285595625E-2</v>
      </c>
      <c r="D113" s="278">
        <f t="shared" si="28"/>
        <v>2.1217789766917027E-2</v>
      </c>
      <c r="E113" s="136">
        <v>18614030</v>
      </c>
      <c r="F113" s="62">
        <f t="shared" si="35"/>
        <v>0.27045801051637675</v>
      </c>
      <c r="G113" s="278">
        <f t="shared" si="29"/>
        <v>6.0035574907273015E-2</v>
      </c>
      <c r="H113" s="247">
        <f t="shared" si="26"/>
        <v>12596877</v>
      </c>
      <c r="I113" s="309">
        <f t="shared" si="33"/>
        <v>209.34945480030171</v>
      </c>
      <c r="J113" s="136">
        <v>305281</v>
      </c>
      <c r="K113" s="62">
        <f t="shared" si="30"/>
        <v>4.2878662493318438E-3</v>
      </c>
      <c r="L113" s="278">
        <f t="shared" si="31"/>
        <v>9.3036601347027108E-4</v>
      </c>
      <c r="M113" s="136">
        <v>198712</v>
      </c>
      <c r="N113" s="62"/>
      <c r="O113" s="278">
        <f t="shared" si="32"/>
        <v>5.7389747292418774E-4</v>
      </c>
    </row>
    <row r="114" spans="1:15">
      <c r="A114" s="311" t="s">
        <v>147</v>
      </c>
      <c r="B114" s="312">
        <v>17752</v>
      </c>
      <c r="C114" s="236">
        <f t="shared" si="34"/>
        <v>2.7185645940229432E-4</v>
      </c>
      <c r="D114" s="278">
        <f t="shared" si="28"/>
        <v>6.2597411756408901E-5</v>
      </c>
      <c r="E114" s="312">
        <v>113612</v>
      </c>
      <c r="F114" s="236">
        <f t="shared" si="35"/>
        <v>1.6507588894391272E-3</v>
      </c>
      <c r="G114" s="278">
        <f t="shared" si="29"/>
        <v>3.6643122077084341E-4</v>
      </c>
      <c r="H114" s="315">
        <f>E114-B114</f>
        <v>95860</v>
      </c>
      <c r="I114" s="309">
        <f t="shared" si="33"/>
        <v>539.99549346552499</v>
      </c>
      <c r="J114" s="312"/>
      <c r="K114" s="236">
        <f t="shared" si="30"/>
        <v>0</v>
      </c>
      <c r="L114" s="278">
        <f t="shared" si="31"/>
        <v>0</v>
      </c>
      <c r="M114" s="312"/>
      <c r="N114" s="236"/>
      <c r="O114" s="278">
        <f t="shared" si="32"/>
        <v>0</v>
      </c>
    </row>
    <row r="115" spans="1:15" ht="26.25" hidden="1" customHeight="1">
      <c r="A115" s="122" t="s">
        <v>44</v>
      </c>
      <c r="B115" s="290">
        <v>0</v>
      </c>
      <c r="C115" s="239">
        <f t="shared" si="34"/>
        <v>0</v>
      </c>
      <c r="D115" s="278">
        <f t="shared" si="28"/>
        <v>0</v>
      </c>
      <c r="E115" s="290"/>
      <c r="F115" s="62">
        <f t="shared" si="35"/>
        <v>0</v>
      </c>
      <c r="G115" s="278">
        <f t="shared" si="29"/>
        <v>0</v>
      </c>
      <c r="H115" s="247">
        <f t="shared" si="26"/>
        <v>0</v>
      </c>
      <c r="I115" s="298" t="s">
        <v>137</v>
      </c>
      <c r="J115" s="290"/>
      <c r="K115" s="62">
        <f t="shared" si="30"/>
        <v>0</v>
      </c>
      <c r="L115" s="278">
        <f t="shared" si="31"/>
        <v>0</v>
      </c>
      <c r="M115" s="290"/>
      <c r="N115" s="62"/>
      <c r="O115" s="278">
        <f t="shared" si="32"/>
        <v>0</v>
      </c>
    </row>
    <row r="116" spans="1:15">
      <c r="A116" s="139" t="s">
        <v>107</v>
      </c>
      <c r="B116" s="132">
        <f>B117</f>
        <v>1715772</v>
      </c>
      <c r="C116" s="62">
        <f t="shared" si="34"/>
        <v>2.6275557743442621E-2</v>
      </c>
      <c r="D116" s="278">
        <f t="shared" si="28"/>
        <v>6.0501851264148946E-3</v>
      </c>
      <c r="E116" s="132">
        <v>2330564</v>
      </c>
      <c r="F116" s="62">
        <f t="shared" si="35"/>
        <v>3.3862613459905731E-2</v>
      </c>
      <c r="G116" s="278">
        <f t="shared" si="29"/>
        <v>7.5167360103209164E-3</v>
      </c>
      <c r="H116" s="247">
        <f t="shared" si="26"/>
        <v>614792</v>
      </c>
      <c r="I116" s="309">
        <f t="shared" si="33"/>
        <v>35.831800495636941</v>
      </c>
      <c r="J116" s="132">
        <v>1996786</v>
      </c>
      <c r="K116" s="62">
        <f t="shared" si="30"/>
        <v>2.8046132240585997E-2</v>
      </c>
      <c r="L116" s="278">
        <f t="shared" si="31"/>
        <v>6.0853503184713376E-3</v>
      </c>
      <c r="M116" s="132">
        <v>2006844</v>
      </c>
      <c r="N116" s="62"/>
      <c r="O116" s="278">
        <f t="shared" si="32"/>
        <v>5.7959393501805052E-3</v>
      </c>
    </row>
    <row r="117" spans="1:15">
      <c r="A117" s="115" t="s">
        <v>79</v>
      </c>
      <c r="B117" s="134">
        <v>1715772</v>
      </c>
      <c r="C117" s="243">
        <f t="shared" si="34"/>
        <v>2.6275557743442621E-2</v>
      </c>
      <c r="D117" s="278">
        <f t="shared" si="28"/>
        <v>6.0501851264148946E-3</v>
      </c>
      <c r="E117" s="134">
        <v>2330564</v>
      </c>
      <c r="F117" s="62">
        <f t="shared" si="35"/>
        <v>3.3862613459905731E-2</v>
      </c>
      <c r="G117" s="278">
        <f t="shared" si="29"/>
        <v>7.5167360103209164E-3</v>
      </c>
      <c r="H117" s="247">
        <f t="shared" si="26"/>
        <v>614792</v>
      </c>
      <c r="I117" s="309">
        <f t="shared" si="33"/>
        <v>35.831800495636941</v>
      </c>
      <c r="J117" s="134">
        <v>1996786</v>
      </c>
      <c r="K117" s="62">
        <f t="shared" si="30"/>
        <v>2.8046132240585997E-2</v>
      </c>
      <c r="L117" s="278">
        <f t="shared" si="31"/>
        <v>6.0853503184713376E-3</v>
      </c>
      <c r="M117" s="134">
        <v>2006844</v>
      </c>
      <c r="N117" s="62"/>
      <c r="O117" s="278">
        <f t="shared" si="32"/>
        <v>5.7959393501805052E-3</v>
      </c>
    </row>
    <row r="118" spans="1:15">
      <c r="A118" s="138" t="s">
        <v>108</v>
      </c>
      <c r="B118" s="132">
        <f>B119+B120</f>
        <v>28406100</v>
      </c>
      <c r="C118" s="62">
        <f t="shared" si="34"/>
        <v>0.43501474602453316</v>
      </c>
      <c r="D118" s="278">
        <f t="shared" si="28"/>
        <v>0.10016608484079129</v>
      </c>
      <c r="E118" s="132">
        <v>32511880</v>
      </c>
      <c r="F118" s="62">
        <f t="shared" si="35"/>
        <v>0.47239089992587208</v>
      </c>
      <c r="G118" s="278">
        <f t="shared" si="29"/>
        <v>0.10486011933559101</v>
      </c>
      <c r="H118" s="247">
        <f t="shared" si="26"/>
        <v>4105780</v>
      </c>
      <c r="I118" s="309">
        <f t="shared" si="33"/>
        <v>14.453867303149678</v>
      </c>
      <c r="J118" s="132">
        <v>35526693</v>
      </c>
      <c r="K118" s="62">
        <f t="shared" si="30"/>
        <v>0.49899505001973221</v>
      </c>
      <c r="L118" s="278">
        <f t="shared" si="31"/>
        <v>0.10827017645445403</v>
      </c>
      <c r="M118" s="132">
        <v>34504754</v>
      </c>
      <c r="N118" s="62"/>
      <c r="O118" s="278">
        <f t="shared" si="32"/>
        <v>9.9652719133574014E-2</v>
      </c>
    </row>
    <row r="119" spans="1:15">
      <c r="A119" s="115" t="s">
        <v>79</v>
      </c>
      <c r="B119" s="134">
        <v>28389447</v>
      </c>
      <c r="C119" s="243">
        <f t="shared" si="34"/>
        <v>0.43475971979546457</v>
      </c>
      <c r="D119" s="278">
        <f t="shared" si="28"/>
        <v>0.10010736274198669</v>
      </c>
      <c r="E119" s="134">
        <v>32076166</v>
      </c>
      <c r="F119" s="62">
        <f t="shared" si="35"/>
        <v>0.46606006551794793</v>
      </c>
      <c r="G119" s="278">
        <f t="shared" si="29"/>
        <v>0.10345481696500565</v>
      </c>
      <c r="H119" s="247">
        <f t="shared" si="26"/>
        <v>3686719</v>
      </c>
      <c r="I119" s="309">
        <f t="shared" si="33"/>
        <v>12.986230411603287</v>
      </c>
      <c r="J119" s="134">
        <v>35063309</v>
      </c>
      <c r="K119" s="62">
        <f t="shared" si="30"/>
        <v>0.49248652635111084</v>
      </c>
      <c r="L119" s="278">
        <f t="shared" si="31"/>
        <v>0.10685798006887515</v>
      </c>
      <c r="M119" s="134">
        <v>34488101</v>
      </c>
      <c r="N119" s="62"/>
      <c r="O119" s="278">
        <f t="shared" si="32"/>
        <v>9.9604623826714797E-2</v>
      </c>
    </row>
    <row r="120" spans="1:15">
      <c r="A120" s="120" t="s">
        <v>80</v>
      </c>
      <c r="B120" s="136">
        <v>16653</v>
      </c>
      <c r="C120" s="243">
        <f t="shared" si="34"/>
        <v>2.5502622906863499E-4</v>
      </c>
      <c r="D120" s="278">
        <f t="shared" si="28"/>
        <v>5.872209880461229E-5</v>
      </c>
      <c r="E120" s="136">
        <v>435714</v>
      </c>
      <c r="F120" s="62">
        <f t="shared" si="35"/>
        <v>6.3308344079241619E-3</v>
      </c>
      <c r="G120" s="278">
        <f t="shared" si="29"/>
        <v>1.4053023705853894E-3</v>
      </c>
      <c r="H120" s="247">
        <f t="shared" si="26"/>
        <v>419061</v>
      </c>
      <c r="I120" s="309">
        <f t="shared" si="33"/>
        <v>2516.4294721671768</v>
      </c>
      <c r="J120" s="136">
        <v>463384</v>
      </c>
      <c r="K120" s="62">
        <f t="shared" si="30"/>
        <v>6.5085236686213245E-3</v>
      </c>
      <c r="L120" s="278">
        <f t="shared" si="31"/>
        <v>1.4121963855788864E-3</v>
      </c>
      <c r="M120" s="136">
        <v>16653</v>
      </c>
      <c r="N120" s="62"/>
      <c r="O120" s="278">
        <f t="shared" si="32"/>
        <v>4.8095306859205776E-5</v>
      </c>
    </row>
    <row r="121" spans="1:15">
      <c r="A121" s="138" t="s">
        <v>109</v>
      </c>
      <c r="B121" s="132">
        <f>B122</f>
        <v>3620602</v>
      </c>
      <c r="C121" s="62">
        <f t="shared" si="34"/>
        <v>5.5446374528214604E-2</v>
      </c>
      <c r="D121" s="278">
        <f t="shared" si="28"/>
        <v>1.2767029867061604E-2</v>
      </c>
      <c r="E121" s="132">
        <v>3502831</v>
      </c>
      <c r="F121" s="62">
        <f t="shared" si="35"/>
        <v>5.0895410796860788E-2</v>
      </c>
      <c r="G121" s="278">
        <f t="shared" si="29"/>
        <v>1.129763263989679E-2</v>
      </c>
      <c r="H121" s="247">
        <f t="shared" si="26"/>
        <v>-117771</v>
      </c>
      <c r="I121" s="309">
        <f t="shared" si="33"/>
        <v>-3.25280160592078</v>
      </c>
      <c r="J121" s="132">
        <v>501000</v>
      </c>
      <c r="K121" s="62">
        <f t="shared" si="30"/>
        <v>7.0368643673050513E-3</v>
      </c>
      <c r="L121" s="278">
        <f t="shared" si="31"/>
        <v>1.5268338768171152E-3</v>
      </c>
      <c r="M121" s="132">
        <v>863261</v>
      </c>
      <c r="N121" s="62"/>
      <c r="O121" s="278">
        <f t="shared" si="32"/>
        <v>2.493172563176895E-3</v>
      </c>
    </row>
    <row r="122" spans="1:15">
      <c r="A122" s="115" t="s">
        <v>79</v>
      </c>
      <c r="B122" s="134">
        <v>3620602</v>
      </c>
      <c r="C122" s="243">
        <f t="shared" si="34"/>
        <v>5.5446374528214604E-2</v>
      </c>
      <c r="D122" s="278">
        <f t="shared" si="28"/>
        <v>1.2767029867061604E-2</v>
      </c>
      <c r="E122" s="134">
        <v>3502831</v>
      </c>
      <c r="F122" s="62">
        <f t="shared" si="35"/>
        <v>5.0895410796860788E-2</v>
      </c>
      <c r="G122" s="278">
        <f t="shared" si="29"/>
        <v>1.129763263989679E-2</v>
      </c>
      <c r="H122" s="247">
        <f t="shared" si="26"/>
        <v>-117771</v>
      </c>
      <c r="I122" s="309">
        <f t="shared" si="33"/>
        <v>-3.25280160592078</v>
      </c>
      <c r="J122" s="134">
        <v>501000</v>
      </c>
      <c r="K122" s="62">
        <f t="shared" si="30"/>
        <v>7.0368643673050513E-3</v>
      </c>
      <c r="L122" s="278">
        <f t="shared" si="31"/>
        <v>1.5268338768171152E-3</v>
      </c>
      <c r="M122" s="134">
        <v>863261</v>
      </c>
      <c r="N122" s="62"/>
      <c r="O122" s="278">
        <f t="shared" si="32"/>
        <v>2.493172563176895E-3</v>
      </c>
    </row>
    <row r="123" spans="1:15">
      <c r="A123" s="139" t="s">
        <v>110</v>
      </c>
      <c r="B123" s="132">
        <f>B124</f>
        <v>106508</v>
      </c>
      <c r="C123" s="62">
        <f t="shared" si="34"/>
        <v>1.6310774998884387E-3</v>
      </c>
      <c r="D123" s="278">
        <f t="shared" si="28"/>
        <v>3.7557036566874716E-4</v>
      </c>
      <c r="E123" s="132">
        <v>106508</v>
      </c>
      <c r="F123" s="62">
        <f t="shared" si="35"/>
        <v>1.5475392370205838E-3</v>
      </c>
      <c r="G123" s="278">
        <f t="shared" si="29"/>
        <v>3.435187872923722E-4</v>
      </c>
      <c r="H123" s="247">
        <f>E123-B123</f>
        <v>0</v>
      </c>
      <c r="I123" s="309">
        <f t="shared" si="33"/>
        <v>0</v>
      </c>
      <c r="J123" s="132">
        <v>106508</v>
      </c>
      <c r="K123" s="62">
        <f t="shared" si="30"/>
        <v>1.4959727545567395E-3</v>
      </c>
      <c r="L123" s="278">
        <f t="shared" si="31"/>
        <v>3.2459086337731998E-4</v>
      </c>
      <c r="M123" s="132">
        <v>106508</v>
      </c>
      <c r="N123" s="62"/>
      <c r="O123" s="278">
        <f t="shared" si="32"/>
        <v>3.0760433212996394E-4</v>
      </c>
    </row>
    <row r="124" spans="1:15">
      <c r="A124" s="115" t="s">
        <v>79</v>
      </c>
      <c r="B124" s="134">
        <v>106508</v>
      </c>
      <c r="C124" s="243">
        <f t="shared" si="34"/>
        <v>1.6310774998884387E-3</v>
      </c>
      <c r="D124" s="278">
        <f t="shared" si="28"/>
        <v>3.7557036566874716E-4</v>
      </c>
      <c r="E124" s="134">
        <v>106508</v>
      </c>
      <c r="F124" s="62">
        <f t="shared" si="35"/>
        <v>1.5475392370205838E-3</v>
      </c>
      <c r="G124" s="278">
        <f t="shared" si="29"/>
        <v>3.435187872923722E-4</v>
      </c>
      <c r="H124" s="247">
        <f>E124-B124</f>
        <v>0</v>
      </c>
      <c r="I124" s="309">
        <f t="shared" si="33"/>
        <v>0</v>
      </c>
      <c r="J124" s="134">
        <v>106508</v>
      </c>
      <c r="K124" s="62">
        <f t="shared" si="30"/>
        <v>1.4959727545567395E-3</v>
      </c>
      <c r="L124" s="278">
        <f t="shared" si="31"/>
        <v>3.2459086337731998E-4</v>
      </c>
      <c r="M124" s="134">
        <v>106508</v>
      </c>
      <c r="N124" s="62"/>
      <c r="O124" s="278">
        <f t="shared" si="32"/>
        <v>3.0760433212996394E-4</v>
      </c>
    </row>
    <row r="125" spans="1:15">
      <c r="A125" s="139" t="s">
        <v>111</v>
      </c>
      <c r="B125" s="132">
        <f>B126</f>
        <v>25524153</v>
      </c>
      <c r="C125" s="62">
        <f t="shared" si="34"/>
        <v>0.39088023117521686</v>
      </c>
      <c r="D125" s="278">
        <f t="shared" si="28"/>
        <v>9.000371310695017E-2</v>
      </c>
      <c r="E125" s="132">
        <v>24640977</v>
      </c>
      <c r="F125" s="62">
        <f t="shared" si="35"/>
        <v>0.35802830534815933</v>
      </c>
      <c r="G125" s="278">
        <f t="shared" si="29"/>
        <v>7.9474204160619247E-2</v>
      </c>
      <c r="H125" s="247">
        <f t="shared" si="26"/>
        <v>-883176</v>
      </c>
      <c r="I125" s="309">
        <f t="shared" si="33"/>
        <v>-3.4601579139570333</v>
      </c>
      <c r="J125" s="132">
        <v>23000131</v>
      </c>
      <c r="K125" s="62">
        <f t="shared" si="30"/>
        <v>0.32305150155139378</v>
      </c>
      <c r="L125" s="278">
        <f t="shared" si="31"/>
        <v>7.0094569225611802E-2</v>
      </c>
      <c r="M125" s="132">
        <v>23725781</v>
      </c>
      <c r="N125" s="62"/>
      <c r="O125" s="278">
        <f t="shared" si="32"/>
        <v>6.8522111191335736E-2</v>
      </c>
    </row>
    <row r="126" spans="1:15">
      <c r="A126" s="115" t="s">
        <v>79</v>
      </c>
      <c r="B126" s="134">
        <f>25445568+78585</f>
        <v>25524153</v>
      </c>
      <c r="C126" s="243">
        <f t="shared" si="34"/>
        <v>0.39088023117521686</v>
      </c>
      <c r="D126" s="278">
        <f t="shared" si="28"/>
        <v>9.000371310695017E-2</v>
      </c>
      <c r="E126" s="134">
        <v>24640977</v>
      </c>
      <c r="F126" s="62">
        <f t="shared" si="35"/>
        <v>0.35802830534815933</v>
      </c>
      <c r="G126" s="278">
        <f t="shared" si="29"/>
        <v>7.9474204160619247E-2</v>
      </c>
      <c r="H126" s="247">
        <f t="shared" si="26"/>
        <v>-883176</v>
      </c>
      <c r="I126" s="309">
        <f t="shared" si="33"/>
        <v>-3.4601579139570333</v>
      </c>
      <c r="J126" s="134">
        <v>23000131</v>
      </c>
      <c r="K126" s="62">
        <f t="shared" si="30"/>
        <v>0.32305150155139378</v>
      </c>
      <c r="L126" s="278">
        <f t="shared" si="31"/>
        <v>7.0094569225611802E-2</v>
      </c>
      <c r="M126" s="134">
        <v>23725781</v>
      </c>
      <c r="N126" s="62"/>
      <c r="O126" s="278">
        <f t="shared" si="32"/>
        <v>6.8522111191335736E-2</v>
      </c>
    </row>
    <row r="127" spans="1:15">
      <c r="A127" s="139" t="s">
        <v>112</v>
      </c>
      <c r="B127" s="132">
        <f>B128</f>
        <v>353304927</v>
      </c>
      <c r="C127" s="62">
        <f t="shared" si="34"/>
        <v>5.4105580522536094</v>
      </c>
      <c r="D127" s="278">
        <f t="shared" si="28"/>
        <v>1.2458299904792129</v>
      </c>
      <c r="E127" s="132">
        <v>364639608</v>
      </c>
      <c r="F127" s="62">
        <f t="shared" si="35"/>
        <v>5.298138175083607</v>
      </c>
      <c r="G127" s="278">
        <f t="shared" si="29"/>
        <v>1.1760671117561683</v>
      </c>
      <c r="H127" s="247">
        <f t="shared" si="26"/>
        <v>11334681</v>
      </c>
      <c r="I127" s="309">
        <f t="shared" si="33"/>
        <v>3.2081865079679517</v>
      </c>
      <c r="J127" s="132">
        <v>364450898</v>
      </c>
      <c r="K127" s="62">
        <f t="shared" si="30"/>
        <v>5.1189451851667229</v>
      </c>
      <c r="L127" s="278">
        <f t="shared" si="31"/>
        <v>1.1106905738579222</v>
      </c>
      <c r="M127" s="132">
        <v>364450898</v>
      </c>
      <c r="N127" s="62"/>
      <c r="O127" s="278">
        <f t="shared" si="32"/>
        <v>1.0525657703971121</v>
      </c>
    </row>
    <row r="128" spans="1:15">
      <c r="A128" s="115" t="s">
        <v>79</v>
      </c>
      <c r="B128" s="134">
        <f>350886597+2418330</f>
        <v>353304927</v>
      </c>
      <c r="C128" s="243">
        <f t="shared" si="34"/>
        <v>5.4105580522536094</v>
      </c>
      <c r="D128" s="278">
        <f t="shared" si="28"/>
        <v>1.2458299904792129</v>
      </c>
      <c r="E128" s="134">
        <v>364639608</v>
      </c>
      <c r="F128" s="62">
        <f t="shared" si="35"/>
        <v>5.298138175083607</v>
      </c>
      <c r="G128" s="278">
        <f t="shared" si="29"/>
        <v>1.1760671117561683</v>
      </c>
      <c r="H128" s="247">
        <f t="shared" si="26"/>
        <v>11334681</v>
      </c>
      <c r="I128" s="309">
        <f t="shared" si="33"/>
        <v>3.2081865079679517</v>
      </c>
      <c r="J128" s="134">
        <v>364450898</v>
      </c>
      <c r="K128" s="62">
        <f t="shared" si="30"/>
        <v>5.1189451851667229</v>
      </c>
      <c r="L128" s="278">
        <f t="shared" si="31"/>
        <v>1.1106905738579222</v>
      </c>
      <c r="M128" s="134">
        <v>364450898</v>
      </c>
      <c r="N128" s="62"/>
      <c r="O128" s="278">
        <f t="shared" si="32"/>
        <v>1.0525657703971121</v>
      </c>
    </row>
    <row r="129" spans="1:15">
      <c r="A129" s="139" t="s">
        <v>113</v>
      </c>
      <c r="B129" s="132">
        <f>B130</f>
        <v>58305582</v>
      </c>
      <c r="C129" s="62">
        <f t="shared" si="34"/>
        <v>0.89289934012562777</v>
      </c>
      <c r="D129" s="278">
        <f t="shared" si="28"/>
        <v>0.20559815931450337</v>
      </c>
      <c r="E129" s="132">
        <v>122938742</v>
      </c>
      <c r="F129" s="62">
        <f t="shared" si="35"/>
        <v>1.786274523932009</v>
      </c>
      <c r="G129" s="278">
        <f t="shared" si="29"/>
        <v>0.39651263344621829</v>
      </c>
      <c r="H129" s="247">
        <f t="shared" si="26"/>
        <v>64633160</v>
      </c>
      <c r="I129" s="309">
        <f t="shared" si="33"/>
        <v>110.85243947997984</v>
      </c>
      <c r="J129" s="132">
        <v>265219282</v>
      </c>
      <c r="K129" s="62">
        <f t="shared" si="30"/>
        <v>3.7251738822914771</v>
      </c>
      <c r="L129" s="278">
        <f t="shared" si="31"/>
        <v>0.80827501904732879</v>
      </c>
      <c r="M129" s="132">
        <v>304356007</v>
      </c>
      <c r="N129" s="62"/>
      <c r="O129" s="278">
        <f t="shared" si="32"/>
        <v>0.87900651841155231</v>
      </c>
    </row>
    <row r="130" spans="1:15">
      <c r="A130" s="115" t="s">
        <v>79</v>
      </c>
      <c r="B130" s="134">
        <f>57585562+720020</f>
        <v>58305582</v>
      </c>
      <c r="C130" s="243">
        <f t="shared" si="34"/>
        <v>0.89289934012562777</v>
      </c>
      <c r="D130" s="278">
        <f t="shared" si="28"/>
        <v>0.20559815931450337</v>
      </c>
      <c r="E130" s="134">
        <v>122938742</v>
      </c>
      <c r="F130" s="62">
        <f t="shared" si="35"/>
        <v>1.786274523932009</v>
      </c>
      <c r="G130" s="278">
        <f t="shared" si="29"/>
        <v>0.39651263344621829</v>
      </c>
      <c r="H130" s="247">
        <f t="shared" si="26"/>
        <v>64633160</v>
      </c>
      <c r="I130" s="309">
        <f t="shared" si="33"/>
        <v>110.85243947997984</v>
      </c>
      <c r="J130" s="134">
        <v>265219282</v>
      </c>
      <c r="K130" s="62">
        <f t="shared" si="30"/>
        <v>3.7251738822914771</v>
      </c>
      <c r="L130" s="278">
        <f t="shared" si="31"/>
        <v>0.80827501904732879</v>
      </c>
      <c r="M130" s="134">
        <v>304356007</v>
      </c>
      <c r="N130" s="62"/>
      <c r="O130" s="278">
        <f t="shared" si="32"/>
        <v>0.87900651841155231</v>
      </c>
    </row>
    <row r="131" spans="1:15" ht="26.25">
      <c r="A131" s="139" t="s">
        <v>114</v>
      </c>
      <c r="B131" s="132">
        <f>B132+B137</f>
        <v>382116763</v>
      </c>
      <c r="C131" s="62">
        <f t="shared" si="34"/>
        <v>5.8517862926681854</v>
      </c>
      <c r="D131" s="278">
        <f t="shared" si="28"/>
        <v>1.3474267886737896</v>
      </c>
      <c r="E131" s="132">
        <v>66657373</v>
      </c>
      <c r="F131" s="62">
        <f t="shared" si="35"/>
        <v>0.96851785926143075</v>
      </c>
      <c r="G131" s="278">
        <f t="shared" si="29"/>
        <v>0.21498910820835349</v>
      </c>
      <c r="H131" s="247">
        <f t="shared" si="26"/>
        <v>-315459390</v>
      </c>
      <c r="I131" s="309">
        <f t="shared" si="33"/>
        <v>-82.555757963436946</v>
      </c>
      <c r="J131" s="132">
        <v>550145370</v>
      </c>
      <c r="K131" s="62">
        <f t="shared" si="30"/>
        <v>7.7271424171474115</v>
      </c>
      <c r="L131" s="278">
        <f t="shared" si="31"/>
        <v>1.6766079602596531</v>
      </c>
      <c r="M131" s="132">
        <v>1223671832</v>
      </c>
      <c r="N131" s="62"/>
      <c r="O131" s="278">
        <f t="shared" si="32"/>
        <v>3.5340702729241875</v>
      </c>
    </row>
    <row r="132" spans="1:15">
      <c r="A132" s="115" t="s">
        <v>79</v>
      </c>
      <c r="B132" s="134">
        <f>258797432-2276647</f>
        <v>256520785</v>
      </c>
      <c r="C132" s="243">
        <f t="shared" si="34"/>
        <v>3.9283929908290429</v>
      </c>
      <c r="D132" s="278">
        <f t="shared" si="28"/>
        <v>0.90454806234352425</v>
      </c>
      <c r="E132" s="134">
        <v>37500962</v>
      </c>
      <c r="F132" s="62">
        <f t="shared" si="35"/>
        <v>0.54488123071523187</v>
      </c>
      <c r="G132" s="278">
        <f t="shared" si="29"/>
        <v>0.1209513368811482</v>
      </c>
      <c r="H132" s="247">
        <f t="shared" si="26"/>
        <v>-219019823</v>
      </c>
      <c r="I132" s="309">
        <f t="shared" si="33"/>
        <v>-85.380926539734389</v>
      </c>
      <c r="J132" s="134">
        <v>181675304</v>
      </c>
      <c r="K132" s="62">
        <f t="shared" si="30"/>
        <v>2.5517454553630996</v>
      </c>
      <c r="L132" s="278">
        <f t="shared" si="31"/>
        <v>0.55366868009630332</v>
      </c>
      <c r="M132" s="134">
        <v>188696894</v>
      </c>
      <c r="N132" s="62"/>
      <c r="O132" s="278">
        <f t="shared" si="32"/>
        <v>0.54497297906137177</v>
      </c>
    </row>
    <row r="133" spans="1:15">
      <c r="A133" s="291" t="s">
        <v>115</v>
      </c>
      <c r="B133" s="228">
        <v>14272179</v>
      </c>
      <c r="C133" s="243">
        <f t="shared" si="34"/>
        <v>0.21856602359710328</v>
      </c>
      <c r="D133" s="278">
        <f t="shared" ref="D133:D147" si="36">B133/$B$155/1000000*100</f>
        <v>5.0326806304876757E-2</v>
      </c>
      <c r="E133" s="228">
        <v>10000000</v>
      </c>
      <c r="F133" s="62">
        <f t="shared" si="35"/>
        <v>0.14529793414772449</v>
      </c>
      <c r="G133" s="278">
        <f t="shared" ref="G133:G147" si="37">E133/$E$155/1000000*100</f>
        <v>3.2252862441541685E-2</v>
      </c>
      <c r="H133" s="247">
        <f t="shared" si="26"/>
        <v>-4272179</v>
      </c>
      <c r="I133" s="309">
        <f t="shared" si="33"/>
        <v>-29.93361420144744</v>
      </c>
      <c r="J133" s="228">
        <v>14272179</v>
      </c>
      <c r="K133" s="62">
        <f t="shared" ref="K133:K135" si="38">J133/$J$138*100</f>
        <v>0.20046185199381125</v>
      </c>
      <c r="L133" s="278">
        <f t="shared" ref="L133:L147" si="39">J133/$J$155/1000000*100</f>
        <v>4.3495501782829973E-2</v>
      </c>
      <c r="M133" s="228">
        <v>14272179</v>
      </c>
      <c r="N133" s="62"/>
      <c r="O133" s="278">
        <f t="shared" ref="O133:O147" si="40">M133/$M$155/1000000*100</f>
        <v>4.1219289530685925E-2</v>
      </c>
    </row>
    <row r="134" spans="1:15">
      <c r="A134" s="291" t="s">
        <v>116</v>
      </c>
      <c r="B134" s="228">
        <f>45822579-2276647</f>
        <v>43545932</v>
      </c>
      <c r="C134" s="243">
        <f t="shared" si="34"/>
        <v>0.6668681216140756</v>
      </c>
      <c r="D134" s="278">
        <f t="shared" si="36"/>
        <v>0.15355242427448076</v>
      </c>
      <c r="E134" s="228">
        <v>20430962</v>
      </c>
      <c r="F134" s="62">
        <f t="shared" si="35"/>
        <v>0.29685765712506612</v>
      </c>
      <c r="G134" s="278">
        <f t="shared" si="37"/>
        <v>6.5895700693436532E-2</v>
      </c>
      <c r="H134" s="247">
        <f t="shared" si="26"/>
        <v>-23114970</v>
      </c>
      <c r="I134" s="309">
        <f t="shared" si="33"/>
        <v>-53.081812555992599</v>
      </c>
      <c r="J134" s="228">
        <v>22781528</v>
      </c>
      <c r="K134" s="62">
        <f t="shared" si="38"/>
        <v>0.31998108306579304</v>
      </c>
      <c r="L134" s="278">
        <f t="shared" si="39"/>
        <v>6.9428360710693929E-2</v>
      </c>
      <c r="M134" s="228">
        <v>24081118</v>
      </c>
      <c r="N134" s="62"/>
      <c r="O134" s="278">
        <f t="shared" si="40"/>
        <v>6.9548355234657036E-2</v>
      </c>
    </row>
    <row r="135" spans="1:15" ht="15.75" customHeight="1">
      <c r="A135" s="291" t="s">
        <v>160</v>
      </c>
      <c r="B135" s="228">
        <v>198702674</v>
      </c>
      <c r="C135" s="243">
        <f t="shared" si="34"/>
        <v>3.0429588456178642</v>
      </c>
      <c r="D135" s="278">
        <f t="shared" si="36"/>
        <v>0.70066883176416661</v>
      </c>
      <c r="E135" s="228"/>
      <c r="F135" s="62">
        <f t="shared" si="35"/>
        <v>0</v>
      </c>
      <c r="G135" s="278">
        <f t="shared" si="37"/>
        <v>0</v>
      </c>
      <c r="H135" s="247">
        <f t="shared" si="26"/>
        <v>-198702674</v>
      </c>
      <c r="I135" s="309">
        <f t="shared" si="33"/>
        <v>-100</v>
      </c>
      <c r="J135" s="134">
        <v>144621597</v>
      </c>
      <c r="K135" s="62">
        <f t="shared" si="38"/>
        <v>2.0313025203034951</v>
      </c>
      <c r="L135" s="278">
        <f t="shared" si="39"/>
        <v>0.44074481760277945</v>
      </c>
      <c r="M135" s="134">
        <v>150343597</v>
      </c>
      <c r="N135" s="62"/>
      <c r="O135" s="278">
        <f t="shared" si="40"/>
        <v>0.43420533429602887</v>
      </c>
    </row>
    <row r="136" spans="1:15">
      <c r="A136" s="291" t="s">
        <v>159</v>
      </c>
      <c r="B136" s="228"/>
      <c r="C136" s="243"/>
      <c r="D136" s="278">
        <f t="shared" si="36"/>
        <v>0</v>
      </c>
      <c r="E136" s="228">
        <v>7070000</v>
      </c>
      <c r="F136" s="62"/>
      <c r="G136" s="278">
        <f t="shared" si="37"/>
        <v>2.2802773746169971E-2</v>
      </c>
      <c r="H136" s="247">
        <f t="shared" ref="H136" si="41">E136-B136</f>
        <v>7070000</v>
      </c>
      <c r="I136" s="298" t="s">
        <v>137</v>
      </c>
      <c r="J136" s="134"/>
      <c r="K136" s="62"/>
      <c r="L136" s="278">
        <f t="shared" si="39"/>
        <v>0</v>
      </c>
      <c r="M136" s="134"/>
      <c r="N136" s="62"/>
      <c r="O136" s="278">
        <f t="shared" si="40"/>
        <v>0</v>
      </c>
    </row>
    <row r="137" spans="1:15">
      <c r="A137" s="120" t="s">
        <v>80</v>
      </c>
      <c r="B137" s="136">
        <f>125589223+6755</f>
        <v>125595978</v>
      </c>
      <c r="C137" s="240">
        <f>B137/$B$138*100</f>
        <v>1.9233933018391423</v>
      </c>
      <c r="D137" s="278">
        <f t="shared" si="36"/>
        <v>0.44287872633026559</v>
      </c>
      <c r="E137" s="136">
        <v>29156411</v>
      </c>
      <c r="F137" s="62">
        <f>E137/$E$138*100</f>
        <v>0.42363662854619893</v>
      </c>
      <c r="G137" s="278">
        <f t="shared" si="37"/>
        <v>9.4037771327205297E-2</v>
      </c>
      <c r="H137" s="247">
        <f t="shared" si="26"/>
        <v>-96439567</v>
      </c>
      <c r="I137" s="309">
        <f t="shared" si="33"/>
        <v>-76.785553594717811</v>
      </c>
      <c r="J137" s="136">
        <v>368470066</v>
      </c>
      <c r="K137" s="62">
        <f>J137/$J$138*100</f>
        <v>5.1753969617843127</v>
      </c>
      <c r="L137" s="278">
        <f t="shared" si="39"/>
        <v>1.1229392801633498</v>
      </c>
      <c r="M137" s="136">
        <v>1034974938</v>
      </c>
      <c r="N137" s="62"/>
      <c r="O137" s="278">
        <f t="shared" si="40"/>
        <v>2.9890972938628155</v>
      </c>
    </row>
    <row r="138" spans="1:15">
      <c r="A138" s="316" t="s">
        <v>78</v>
      </c>
      <c r="B138" s="317">
        <f>B139+B141</f>
        <v>6529916574</v>
      </c>
      <c r="C138" s="318">
        <f>B138/$B$138*100</f>
        <v>100</v>
      </c>
      <c r="D138" s="319">
        <f t="shared" si="36"/>
        <v>23.02590561726436</v>
      </c>
      <c r="E138" s="317">
        <f>E139+E141</f>
        <v>6882410310</v>
      </c>
      <c r="F138" s="318">
        <f>E138/$E$138*100</f>
        <v>100</v>
      </c>
      <c r="G138" s="320">
        <f t="shared" si="37"/>
        <v>22.197743299467827</v>
      </c>
      <c r="H138" s="321">
        <f>E138-B138</f>
        <v>352493736</v>
      </c>
      <c r="I138" s="319">
        <f t="shared" si="33"/>
        <v>5.3981353667444267</v>
      </c>
      <c r="J138" s="317">
        <f>J139+J141</f>
        <v>7119648381</v>
      </c>
      <c r="K138" s="318">
        <f>J138/$J$138*100</f>
        <v>100</v>
      </c>
      <c r="L138" s="320">
        <f t="shared" si="39"/>
        <v>21.697645387498856</v>
      </c>
      <c r="M138" s="317">
        <f>M139+M141</f>
        <v>7318489462</v>
      </c>
      <c r="N138" s="318">
        <f>M138/$M$138*100</f>
        <v>100</v>
      </c>
      <c r="O138" s="320">
        <f t="shared" si="40"/>
        <v>21.136431659205776</v>
      </c>
    </row>
    <row r="139" spans="1:15">
      <c r="A139" s="115" t="s">
        <v>79</v>
      </c>
      <c r="B139" s="116">
        <f>B6+B8+B11+B15+B17+B20+B24+B26+B32+B38+B45+B53+B60+B66+B72+B78+B85+B90+B97+B103+B106+B109+B112+B117+B119+B122+B124+B126+B128+B130+B132</f>
        <v>5238863599</v>
      </c>
      <c r="C139" s="243">
        <f>B139/$B$138*100</f>
        <v>80.228645184525746</v>
      </c>
      <c r="D139" s="278">
        <f t="shared" si="36"/>
        <v>18.473372118198807</v>
      </c>
      <c r="E139" s="116">
        <f>E6+E8+E11+E15+E17+E20+E24+E26+E32+E38+E45+E53+E60+E66+E72+E78+E85+E90+E97+E103+E106+E109+E112+E117+E119+E122+E124+E126+E128+E130+E132</f>
        <v>5461674349</v>
      </c>
      <c r="F139" s="225">
        <f>E139/$E$138*100</f>
        <v>79.35699998973179</v>
      </c>
      <c r="G139" s="278">
        <f t="shared" si="37"/>
        <v>17.615463147879375</v>
      </c>
      <c r="H139" s="315">
        <f t="shared" ref="H139:H143" si="42">E139-B139</f>
        <v>222810750</v>
      </c>
      <c r="I139" s="219">
        <f t="shared" si="33"/>
        <v>4.2530359073011681</v>
      </c>
      <c r="J139" s="116">
        <f>J6+J8+J11+J15+J17+J20+J24+J26+J32+J38+J45+J53+J60+J66+J72+J78+J85+J90+J97+J103+J106+J109+J112+J117+J119+J122+J124+J126+J128+J130+J132</f>
        <v>5676394212</v>
      </c>
      <c r="K139" s="225">
        <f>J139/$J$138*100</f>
        <v>79.728575180038803</v>
      </c>
      <c r="L139" s="278">
        <f t="shared" si="39"/>
        <v>17.299223515070246</v>
      </c>
      <c r="M139" s="116">
        <f>M6+M8+M11+M15+M17+M20+M24+M26+M32+M38+M45+M53+M60+M66+M72+M78+M85+M90+M97+M103+M106+M109+M112+M117+M119+M122+M124+M126+M128+M130+M132</f>
        <v>5739150692</v>
      </c>
      <c r="N139" s="225">
        <f>M139/$M$138*100</f>
        <v>78.419880520420975</v>
      </c>
      <c r="O139" s="278">
        <f t="shared" si="40"/>
        <v>16.575164453429604</v>
      </c>
    </row>
    <row r="140" spans="1:15">
      <c r="A140" s="311" t="s">
        <v>43</v>
      </c>
      <c r="B140" s="312">
        <f>B28+B34+B40+B55+B61+B74+B80+B92+B98</f>
        <v>5924092</v>
      </c>
      <c r="C140" s="236">
        <f>C28+C34+C40+C61+C92</f>
        <v>1.6616598201580637E-2</v>
      </c>
      <c r="D140" s="278">
        <f t="shared" si="36"/>
        <v>2.0889636446983318E-2</v>
      </c>
      <c r="E140" s="312">
        <f>E28+E34+E40+E55+E61+E74+E80+E92+E98</f>
        <v>8674604</v>
      </c>
      <c r="F140" s="236">
        <f>F28+F34+F40+F61+F92</f>
        <v>7.6636944942621424E-2</v>
      </c>
      <c r="G140" s="278">
        <f t="shared" si="37"/>
        <v>2.7978080954684729E-2</v>
      </c>
      <c r="H140" s="315">
        <f t="shared" si="42"/>
        <v>2750512</v>
      </c>
      <c r="I140" s="219">
        <f t="shared" si="33"/>
        <v>46.429258694834573</v>
      </c>
      <c r="J140" s="312">
        <f>J28+J34+J40+J55+J61+J74+J80+J92+J98</f>
        <v>3582637</v>
      </c>
      <c r="K140" s="236">
        <f>K28+K34+K40+K61+K92</f>
        <v>2.9855266527944003E-2</v>
      </c>
      <c r="L140" s="278">
        <f t="shared" si="39"/>
        <v>1.0918346387102673E-2</v>
      </c>
      <c r="M140" s="312">
        <f>M28+M34+M40+M55+M61+M74+M80+M92+M98</f>
        <v>1886489</v>
      </c>
      <c r="N140" s="236">
        <f>N28+N34+N40+N61+N92</f>
        <v>5.7111102252756108E-3</v>
      </c>
      <c r="O140" s="278">
        <f t="shared" si="40"/>
        <v>5.4483436823104699E-3</v>
      </c>
    </row>
    <row r="141" spans="1:15">
      <c r="A141" s="120" t="s">
        <v>80</v>
      </c>
      <c r="B141" s="241">
        <f>B12+B18+B21+B29+B35+B41+B49+B56+B62+B68+B75+B81+B87+B93+B99+B104+B107+B110+B113+B120+B137</f>
        <v>1291052975</v>
      </c>
      <c r="C141" s="241">
        <f>C12+C18+C21+C29+C35+C41+C49+C56+C62+C68+C75+C81+C87+C93+C99+C104+C110+C113+C120+C137</f>
        <v>19.644931393268973</v>
      </c>
      <c r="D141" s="278">
        <f t="shared" si="36"/>
        <v>4.5525334990655519</v>
      </c>
      <c r="E141" s="241">
        <f>E12+E18+E21+E29+E35+E41+E49+E56+E62+E68+E75+E81+E87+E93+E99+E104+E107+E110+E113+E120+E137</f>
        <v>1420735961</v>
      </c>
      <c r="F141" s="241">
        <f>F12+F18+F21+F29+F35+F41+F49+F56+F62+F68+F75+F81+F87+F93+F99+F104+F110+F113+F120+F137</f>
        <v>20.642919355384958</v>
      </c>
      <c r="G141" s="278">
        <f t="shared" si="37"/>
        <v>4.5822801515884537</v>
      </c>
      <c r="H141" s="315">
        <f t="shared" si="42"/>
        <v>129682986</v>
      </c>
      <c r="I141" s="219">
        <f t="shared" si="33"/>
        <v>10.044745530290882</v>
      </c>
      <c r="J141" s="241">
        <f>J12+J18+J21+J29+J35+J41+J49+J56+J62+J68+J75+J81+J87+J93+J99+J104+J107+J110+J113+J120+J137</f>
        <v>1443254169</v>
      </c>
      <c r="K141" s="241">
        <f>K12+K18+K21+K29+K35+K41+K49+K56+K62+K68+K75+K81+K87+K93+K99+K104+K110+K113+K120+K137</f>
        <v>20.271346852627662</v>
      </c>
      <c r="L141" s="278">
        <f t="shared" si="39"/>
        <v>4.3984218724286102</v>
      </c>
      <c r="M141" s="241">
        <f>M12+M18+M21+M29+M35+M41+M49+M56+M62+M68+M75+M81+M87+M93+M99+M104+M107+M110+M113+M120+M137</f>
        <v>1579338770</v>
      </c>
      <c r="N141" s="241">
        <f>N12+N18+N21+N29+N35+N41+N49+N56+N62+N68+N75+N81+N87+N93+N99+N104+N110+N113+N120+N137</f>
        <v>5.2770895279045495</v>
      </c>
      <c r="O141" s="278">
        <f t="shared" si="40"/>
        <v>4.561267205776173</v>
      </c>
    </row>
    <row r="142" spans="1:15" ht="26.25">
      <c r="A142" s="122" t="s">
        <v>44</v>
      </c>
      <c r="B142" s="123">
        <f>B22+B30+B42+B50+B57+B63+B69+B76+B82+B88+B94+B100+B115</f>
        <v>32017263</v>
      </c>
      <c r="C142" s="229"/>
      <c r="D142" s="278">
        <f t="shared" si="36"/>
        <v>0.11289983074156353</v>
      </c>
      <c r="E142" s="123">
        <f>E22+E30+E42+E50+E57+E63+E69+E76+E82+E88+E94+E100+E115</f>
        <v>33995128</v>
      </c>
      <c r="F142" s="230"/>
      <c r="G142" s="278">
        <f t="shared" si="37"/>
        <v>0.10964401870666021</v>
      </c>
      <c r="H142" s="315">
        <f t="shared" si="42"/>
        <v>1977865</v>
      </c>
      <c r="I142" s="219">
        <f t="shared" si="33"/>
        <v>6.1774955591925647</v>
      </c>
      <c r="J142" s="123">
        <f>J22+J30+J42+J50+J57+J63+J69+J76+J82+J88+J94+J100+J115</f>
        <v>20755208</v>
      </c>
      <c r="K142" s="229">
        <f>J142/$J$138*100</f>
        <v>0.29152012696847257</v>
      </c>
      <c r="L142" s="278">
        <f t="shared" si="39"/>
        <v>6.3253003382805595E-2</v>
      </c>
      <c r="M142" s="123">
        <f>M22+M30+M42+M50+M57+M63+M69+M76+M82+M88+M94+M100+M115</f>
        <v>19508085</v>
      </c>
      <c r="N142" s="229">
        <f>M142/$M$138*100</f>
        <v>0.26655889991086801</v>
      </c>
      <c r="O142" s="278">
        <f t="shared" si="40"/>
        <v>5.6341039711191331E-2</v>
      </c>
    </row>
    <row r="143" spans="1:15">
      <c r="A143" s="311" t="s">
        <v>43</v>
      </c>
      <c r="B143" s="312">
        <f>B13+B36+B43+B51+B58+B64+B70+B83+B95+B101+B114</f>
        <v>2617190</v>
      </c>
      <c r="C143" s="241" t="e">
        <f>#REF!+C36+C43+C51+C58+C64+C70+C95+C101</f>
        <v>#REF!</v>
      </c>
      <c r="D143" s="278">
        <f t="shared" si="36"/>
        <v>9.228780986635635E-3</v>
      </c>
      <c r="E143" s="312">
        <f>E13+E36+E43+E51+E58+E64+E70+E83+E95+E101+E114</f>
        <v>14911965</v>
      </c>
      <c r="F143" s="241" t="e">
        <f>#REF!+F36+F43+F51+F58+F64+F70+F95+F101</f>
        <v>#REF!</v>
      </c>
      <c r="G143" s="278">
        <f t="shared" si="37"/>
        <v>4.8095355587808419E-2</v>
      </c>
      <c r="H143" s="315">
        <f t="shared" si="42"/>
        <v>12294775</v>
      </c>
      <c r="I143" s="219">
        <f t="shared" si="33"/>
        <v>469.77005872710811</v>
      </c>
      <c r="J143" s="312">
        <f>J13+J36+J43+J51+J58+J64+J70+J83+J95+J101+J114</f>
        <v>2288925</v>
      </c>
      <c r="K143" s="241" t="e">
        <f>#REF!+K36+K43+K51+K58+K64+K70+K95+K101</f>
        <v>#REF!</v>
      </c>
      <c r="L143" s="278">
        <f t="shared" si="39"/>
        <v>6.9756651327217865E-3</v>
      </c>
      <c r="M143" s="312">
        <f>M13+M36+M43+M51+M58+M64+M70+M83+M95+M101+M114</f>
        <v>829173</v>
      </c>
      <c r="N143" s="241" t="e">
        <f>#REF!+N36+N43+N51+N58+N64+N70+N95+N101</f>
        <v>#REF!</v>
      </c>
      <c r="O143" s="278">
        <f t="shared" si="40"/>
        <v>2.3947234657039711E-3</v>
      </c>
    </row>
    <row r="144" spans="1:15">
      <c r="A144" s="322" t="s">
        <v>122</v>
      </c>
      <c r="B144" s="323">
        <f>B138-B140-B142-B143</f>
        <v>6489358029</v>
      </c>
      <c r="C144" s="324">
        <f>B144/$B$138*100</f>
        <v>99.378881115242862</v>
      </c>
      <c r="D144" s="319">
        <f t="shared" si="36"/>
        <v>22.882887369089179</v>
      </c>
      <c r="E144" s="323">
        <f>E138-E140-E142-E143</f>
        <v>6824828613</v>
      </c>
      <c r="F144" s="324">
        <f>E144/$E$138*100</f>
        <v>99.163349838117981</v>
      </c>
      <c r="G144" s="320">
        <f t="shared" si="37"/>
        <v>22.012025844218673</v>
      </c>
      <c r="H144" s="325">
        <f>E144-B144</f>
        <v>335470584</v>
      </c>
      <c r="I144" s="319">
        <f t="shared" si="33"/>
        <v>5.1695496303460402</v>
      </c>
      <c r="J144" s="323">
        <f>J138-J140-J142-J143</f>
        <v>7093021611</v>
      </c>
      <c r="K144" s="326">
        <f>J144/$J$138*100</f>
        <v>99.626010041857427</v>
      </c>
      <c r="L144" s="320">
        <f t="shared" si="39"/>
        <v>21.616498372596226</v>
      </c>
      <c r="M144" s="323">
        <f>M138-M140-M142-M143</f>
        <v>7296265715</v>
      </c>
      <c r="N144" s="324">
        <f>M144/$M$138*100</f>
        <v>99.696334235153401</v>
      </c>
      <c r="O144" s="320">
        <f t="shared" si="40"/>
        <v>21.072247552346568</v>
      </c>
    </row>
    <row r="145" spans="1:15">
      <c r="A145" s="115" t="s">
        <v>79</v>
      </c>
      <c r="B145" s="116">
        <f>B139-B140</f>
        <v>5232939507</v>
      </c>
      <c r="C145" s="226"/>
      <c r="D145" s="278">
        <f t="shared" si="36"/>
        <v>18.452482481751826</v>
      </c>
      <c r="E145" s="116">
        <f>E139-E140</f>
        <v>5452999745</v>
      </c>
      <c r="F145" s="232"/>
      <c r="G145" s="278">
        <f t="shared" si="37"/>
        <v>17.587485066924692</v>
      </c>
      <c r="H145" s="295">
        <f t="shared" ref="H145:H147" si="43">E145-B145</f>
        <v>220060238</v>
      </c>
      <c r="I145" s="219">
        <f t="shared" si="33"/>
        <v>4.2052891631105211</v>
      </c>
      <c r="J145" s="116">
        <f>J139-J140</f>
        <v>5672811575</v>
      </c>
      <c r="K145" s="232">
        <f>J145/$J$138*100</f>
        <v>79.678254759587119</v>
      </c>
      <c r="L145" s="278">
        <f t="shared" si="39"/>
        <v>17.288305168683145</v>
      </c>
      <c r="M145" s="116">
        <f>M139-M140</f>
        <v>5737264203</v>
      </c>
      <c r="N145" s="232">
        <f>M145/$M$138*100</f>
        <v>78.394103493483996</v>
      </c>
      <c r="O145" s="278">
        <f t="shared" si="40"/>
        <v>16.56971610974729</v>
      </c>
    </row>
    <row r="146" spans="1:15">
      <c r="A146" s="227" t="s">
        <v>12</v>
      </c>
      <c r="B146" s="228">
        <f>B9+B27+B33+B39+B46+B54+B67+B73+B79+B86+B91</f>
        <v>186368697</v>
      </c>
      <c r="C146" s="233"/>
      <c r="D146" s="278">
        <f t="shared" si="36"/>
        <v>0.65717654712789586</v>
      </c>
      <c r="E146" s="228">
        <f>E9+E27+E33+E39+E46+E54+E67+E73+E79+E86+E91</f>
        <v>199062423</v>
      </c>
      <c r="F146" s="246"/>
      <c r="G146" s="278">
        <f t="shared" si="37"/>
        <v>0.64203329462989844</v>
      </c>
      <c r="H146" s="248">
        <f t="shared" si="43"/>
        <v>12693726</v>
      </c>
      <c r="I146" s="219">
        <f t="shared" si="33"/>
        <v>6.8110826572983996</v>
      </c>
      <c r="J146" s="228">
        <f>J9+J27+J33+J39+J46+J54+J67+J73+J79+J86+J91</f>
        <v>199929091</v>
      </c>
      <c r="K146" s="246">
        <f>J146/$J$138*100</f>
        <v>2.8081315298315155</v>
      </c>
      <c r="L146" s="278">
        <f t="shared" si="39"/>
        <v>0.60929842135738876</v>
      </c>
      <c r="M146" s="228">
        <f>M9+M27+M33+M39+M46+M54+M67+M73+M79+M86+M91</f>
        <v>198251038</v>
      </c>
      <c r="N146" s="246">
        <f>M146/$M$138*100</f>
        <v>2.7089065172449107</v>
      </c>
      <c r="O146" s="278">
        <f t="shared" si="40"/>
        <v>0.57256617472924187</v>
      </c>
    </row>
    <row r="147" spans="1:15">
      <c r="A147" s="120" t="s">
        <v>80</v>
      </c>
      <c r="B147" s="223">
        <f>B141-B142-B143</f>
        <v>1256418522</v>
      </c>
      <c r="C147" s="240">
        <f>B147/$B$138*100</f>
        <v>19.240958253626843</v>
      </c>
      <c r="D147" s="278">
        <f t="shared" si="36"/>
        <v>4.4304048873373532</v>
      </c>
      <c r="E147" s="223">
        <f>E141-E142-E143</f>
        <v>1371828868</v>
      </c>
      <c r="F147" s="62">
        <f>E147/$E$138*100</f>
        <v>19.932390052461141</v>
      </c>
      <c r="G147" s="278">
        <f t="shared" si="37"/>
        <v>4.4245407772939851</v>
      </c>
      <c r="H147" s="296">
        <f t="shared" si="43"/>
        <v>115410346</v>
      </c>
      <c r="I147" s="219">
        <f t="shared" si="33"/>
        <v>9.1856609862999221</v>
      </c>
      <c r="J147" s="223">
        <f>J141-J142-J143</f>
        <v>1420210036</v>
      </c>
      <c r="K147" s="245">
        <f>J147/$J$138*100</f>
        <v>19.947755282270307</v>
      </c>
      <c r="L147" s="278">
        <f t="shared" si="39"/>
        <v>4.3281932039130835</v>
      </c>
      <c r="M147" s="223">
        <f>M141-M142-M143</f>
        <v>1559001512</v>
      </c>
      <c r="N147" s="245">
        <f>M147/$M$138*100</f>
        <v>21.302230741669405</v>
      </c>
      <c r="O147" s="278">
        <f t="shared" si="40"/>
        <v>4.5025314425992775</v>
      </c>
    </row>
    <row r="148" spans="1:15">
      <c r="A148" s="162"/>
      <c r="B148" s="253"/>
      <c r="C148" s="58"/>
      <c r="D148" s="279"/>
      <c r="E148" s="97"/>
      <c r="F148" s="58"/>
      <c r="G148" s="279"/>
      <c r="H148" s="275"/>
      <c r="I148" s="270"/>
      <c r="J148" s="97"/>
      <c r="K148" s="58"/>
      <c r="L148" s="284"/>
      <c r="M148" s="58"/>
      <c r="N148" s="58"/>
      <c r="O148" s="284"/>
    </row>
    <row r="149" spans="1:15">
      <c r="A149" s="358"/>
      <c r="B149" s="358"/>
      <c r="C149" s="358"/>
      <c r="D149" s="358"/>
      <c r="E149" s="358"/>
      <c r="F149" s="358"/>
      <c r="G149" s="358"/>
      <c r="H149" s="358"/>
      <c r="I149" s="358"/>
      <c r="J149" s="58"/>
      <c r="K149" s="58"/>
      <c r="L149" s="284"/>
      <c r="M149" s="58"/>
      <c r="N149" s="58"/>
      <c r="O149" s="284"/>
    </row>
    <row r="150" spans="1:15">
      <c r="A150" s="358" t="s">
        <v>130</v>
      </c>
      <c r="B150" s="358"/>
      <c r="C150" s="358"/>
      <c r="D150" s="358"/>
      <c r="E150" s="358"/>
      <c r="F150" s="358"/>
      <c r="G150" s="358"/>
      <c r="H150" s="358"/>
      <c r="I150" s="358"/>
      <c r="J150" s="301"/>
      <c r="K150" s="301"/>
      <c r="L150" s="282"/>
      <c r="M150" s="301"/>
      <c r="N150" s="301"/>
      <c r="O150" s="282"/>
    </row>
    <row r="151" spans="1:15">
      <c r="A151" s="57"/>
      <c r="B151" s="254"/>
      <c r="C151" s="56"/>
      <c r="D151" s="266"/>
      <c r="E151" s="56"/>
      <c r="F151" s="56"/>
      <c r="G151" s="266"/>
      <c r="H151" s="275"/>
      <c r="I151" s="270"/>
      <c r="J151" s="56"/>
      <c r="K151" s="56"/>
      <c r="L151" s="272"/>
      <c r="M151" s="56"/>
      <c r="N151" s="56"/>
      <c r="O151" s="272"/>
    </row>
    <row r="152" spans="1:15" ht="63.75">
      <c r="A152" s="201" t="s">
        <v>42</v>
      </c>
      <c r="B152" s="199" t="s">
        <v>140</v>
      </c>
      <c r="C152" s="199" t="s">
        <v>1</v>
      </c>
      <c r="D152" s="199" t="s">
        <v>2</v>
      </c>
      <c r="E152" s="199" t="s">
        <v>158</v>
      </c>
      <c r="F152" s="199" t="s">
        <v>1</v>
      </c>
      <c r="G152" s="199" t="s">
        <v>2</v>
      </c>
      <c r="H152" s="199" t="s">
        <v>141</v>
      </c>
      <c r="I152" s="199" t="s">
        <v>142</v>
      </c>
      <c r="J152" s="199" t="s">
        <v>143</v>
      </c>
      <c r="K152" s="199" t="s">
        <v>1</v>
      </c>
      <c r="L152" s="199" t="s">
        <v>2</v>
      </c>
      <c r="M152" s="199" t="s">
        <v>144</v>
      </c>
      <c r="N152" s="199" t="s">
        <v>1</v>
      </c>
      <c r="O152" s="199" t="s">
        <v>2</v>
      </c>
    </row>
    <row r="153" spans="1:15">
      <c r="A153" s="249" t="s">
        <v>123</v>
      </c>
      <c r="B153" s="110">
        <v>2651198936</v>
      </c>
      <c r="C153" s="180">
        <v>100</v>
      </c>
      <c r="D153" s="293">
        <f>B153/$B$155/1000000*100</f>
        <v>9.3487038894178216</v>
      </c>
      <c r="E153" s="110">
        <v>2765726756</v>
      </c>
      <c r="F153" s="180">
        <v>100</v>
      </c>
      <c r="G153" s="269">
        <f>E153/$E$155/1000000*100</f>
        <v>8.920260461215932</v>
      </c>
      <c r="H153" s="294">
        <f>E153-B153</f>
        <v>114527820</v>
      </c>
      <c r="I153" s="293">
        <f>E153/B153*100-100</f>
        <v>4.3198501042246846</v>
      </c>
      <c r="J153" s="110">
        <v>3007319773</v>
      </c>
      <c r="K153" s="181">
        <v>100</v>
      </c>
      <c r="L153" s="269">
        <f>J153/$J$155/1000000*100</f>
        <v>9.1650253649468194</v>
      </c>
      <c r="M153" s="110">
        <v>3189054569</v>
      </c>
      <c r="N153" s="180">
        <v>100</v>
      </c>
      <c r="O153" s="269">
        <f>M153/$M$155/1000000*100</f>
        <v>9.2102659032490966</v>
      </c>
    </row>
    <row r="154" spans="1:15">
      <c r="A154" s="204"/>
      <c r="B154" s="234"/>
      <c r="C154" s="206"/>
      <c r="D154" s="281"/>
      <c r="E154" s="207"/>
      <c r="F154" s="206"/>
      <c r="G154" s="267"/>
      <c r="H154" s="276"/>
      <c r="I154" s="271"/>
      <c r="J154" s="205"/>
      <c r="K154" s="206"/>
      <c r="L154" s="273"/>
      <c r="M154" s="205"/>
      <c r="N154" s="206"/>
      <c r="O154" s="273"/>
    </row>
    <row r="155" spans="1:15">
      <c r="A155" s="220" t="s">
        <v>121</v>
      </c>
      <c r="B155" s="255">
        <f>[2]pb_spb_funk!B29</f>
        <v>28359</v>
      </c>
      <c r="C155" s="221"/>
      <c r="D155" s="221"/>
      <c r="E155" s="255">
        <f>[2]pb_spb_funk!E29</f>
        <v>31005</v>
      </c>
      <c r="F155" s="222"/>
      <c r="G155" s="222"/>
      <c r="H155" s="222"/>
      <c r="I155" s="222"/>
      <c r="J155" s="255">
        <f>[2]pb_spb_funk!J29</f>
        <v>32813</v>
      </c>
      <c r="K155" s="222"/>
      <c r="L155" s="222"/>
      <c r="M155" s="255">
        <f>[2]pb_spb_funk!M29</f>
        <v>34625</v>
      </c>
      <c r="N155" s="222"/>
      <c r="O155" s="274"/>
    </row>
    <row r="156" spans="1:15">
      <c r="A156" s="164"/>
      <c r="H156" s="275"/>
    </row>
  </sheetData>
  <mergeCells count="3">
    <mergeCell ref="A150:I150"/>
    <mergeCell ref="A2:I2"/>
    <mergeCell ref="A149:I149"/>
  </mergeCells>
  <pageMargins left="0.39370078740157483" right="0.19685039370078741" top="0.6692913385826772" bottom="0.43307086614173229" header="0.39370078740157483" footer="0.19685039370078741"/>
  <pageSetup paperSize="9" scale="70" firstPageNumber="933" orientation="landscape" useFirstPageNumber="1" r:id="rId1"/>
  <headerFooter alignWithMargins="0">
    <oddHeader>&amp;C&amp;P</oddHeader>
    <oddFooter>&amp;LFMPask_L_090519_bud2019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143"/>
  <sheetViews>
    <sheetView showZeros="0" zoomScale="64" zoomScaleNormal="64" workbookViewId="0">
      <selection activeCell="J81" sqref="J81"/>
    </sheetView>
  </sheetViews>
  <sheetFormatPr defaultColWidth="9.140625" defaultRowHeight="15.75"/>
  <cols>
    <col min="1" max="1" width="4.42578125" style="49" customWidth="1"/>
    <col min="2" max="2" width="50.7109375" style="50" customWidth="1"/>
    <col min="3" max="3" width="18.140625" style="49" customWidth="1"/>
    <col min="4" max="4" width="8.140625" style="49" customWidth="1"/>
    <col min="5" max="5" width="7.5703125" style="49" customWidth="1"/>
    <col min="6" max="6" width="17.7109375" style="49" customWidth="1"/>
    <col min="7" max="7" width="8.28515625" style="49" customWidth="1"/>
    <col min="8" max="8" width="8.42578125" style="49" customWidth="1"/>
    <col min="9" max="9" width="16.5703125" style="29" customWidth="1"/>
    <col min="10" max="10" width="16" style="29" customWidth="1"/>
    <col min="11" max="11" width="17.7109375" style="49" customWidth="1"/>
    <col min="12" max="12" width="9.85546875" style="49" customWidth="1"/>
    <col min="13" max="13" width="8.85546875" style="49" customWidth="1"/>
    <col min="14" max="14" width="17.7109375" style="49" customWidth="1"/>
    <col min="15" max="15" width="8.28515625" style="49" customWidth="1"/>
    <col min="16" max="16" width="8.42578125" style="49" customWidth="1"/>
    <col min="17" max="17" width="16" style="29" customWidth="1"/>
    <col min="18" max="18" width="9.140625" style="49"/>
    <col min="19" max="19" width="16" style="49" customWidth="1"/>
    <col min="20" max="20" width="14.7109375" style="49" bestFit="1" customWidth="1"/>
    <col min="21" max="21" width="9.140625" style="49"/>
    <col min="22" max="22" width="14" style="49" customWidth="1"/>
    <col min="23" max="16384" width="9.140625" style="49"/>
  </cols>
  <sheetData>
    <row r="1" spans="1:20" ht="15.75" customHeight="1">
      <c r="A1" s="358" t="s">
        <v>71</v>
      </c>
      <c r="B1" s="358"/>
      <c r="C1" s="358"/>
      <c r="D1" s="358"/>
      <c r="E1" s="358"/>
      <c r="F1" s="358"/>
      <c r="G1" s="358"/>
      <c r="H1" s="358"/>
      <c r="I1" s="358"/>
      <c r="J1" s="358"/>
      <c r="K1" s="163"/>
      <c r="L1" s="163"/>
      <c r="M1" s="163"/>
      <c r="N1" s="163"/>
      <c r="O1" s="163"/>
      <c r="P1" s="163"/>
      <c r="Q1" s="163"/>
    </row>
    <row r="2" spans="1:20">
      <c r="A2" s="72"/>
      <c r="B2" s="57"/>
      <c r="C2" s="72"/>
      <c r="D2" s="72"/>
      <c r="E2" s="72"/>
      <c r="F2" s="72"/>
      <c r="G2" s="72"/>
      <c r="H2" s="72"/>
      <c r="K2" s="72"/>
      <c r="L2" s="72"/>
      <c r="M2" s="72"/>
      <c r="N2" s="72"/>
      <c r="O2" s="72"/>
      <c r="P2" s="72"/>
    </row>
    <row r="3" spans="1:20" ht="63">
      <c r="A3" s="55"/>
      <c r="B3" s="54" t="s">
        <v>42</v>
      </c>
      <c r="C3" s="5" t="s">
        <v>73</v>
      </c>
      <c r="D3" s="5" t="s">
        <v>1</v>
      </c>
      <c r="E3" s="5" t="s">
        <v>2</v>
      </c>
      <c r="F3" s="5" t="s">
        <v>75</v>
      </c>
      <c r="G3" s="5" t="s">
        <v>1</v>
      </c>
      <c r="H3" s="5" t="s">
        <v>2</v>
      </c>
      <c r="I3" s="5" t="s">
        <v>76</v>
      </c>
      <c r="J3" s="5" t="s">
        <v>77</v>
      </c>
      <c r="K3" s="5" t="s">
        <v>119</v>
      </c>
      <c r="L3" s="5" t="s">
        <v>1</v>
      </c>
      <c r="M3" s="5" t="s">
        <v>2</v>
      </c>
      <c r="N3" s="5" t="s">
        <v>120</v>
      </c>
      <c r="O3" s="5" t="s">
        <v>1</v>
      </c>
      <c r="P3" s="5" t="s">
        <v>2</v>
      </c>
      <c r="Q3" s="166"/>
    </row>
    <row r="4" spans="1:20">
      <c r="A4" s="71"/>
      <c r="B4" s="158" t="s">
        <v>78</v>
      </c>
      <c r="C4" s="159">
        <f>C15+C17+C19+C22+C26+C28+C32+C34+C38+C43+C49+C56+C60+C66+C72+C76+C82+C86+C91+C96+C98+C100+C102+C107+C109+C111+C113+C115+C117+C119+C121</f>
        <v>3423810405</v>
      </c>
      <c r="D4" s="70">
        <f>C4/$C$4*100</f>
        <v>100</v>
      </c>
      <c r="E4" s="70">
        <f>C4/$C$135/1000000*100</f>
        <v>23.710598372576175</v>
      </c>
      <c r="F4" s="159">
        <f>F15+F17+F19+F22+F26+F28+F32+F34+F38+F43+F49+F56+F60+F66+F72+F76+F82+F86+F91+F96+F98+F100+F102+F107+F109+F111+F113+F115+F117+F119+F121</f>
        <v>3590027986</v>
      </c>
      <c r="G4" s="70">
        <f>F4/$F$4*100</f>
        <v>100</v>
      </c>
      <c r="H4" s="70">
        <f t="shared" ref="H4:H12" si="0">F4/$F$135/1000000*100</f>
        <v>22.458027499921805</v>
      </c>
      <c r="I4" s="111">
        <f>F4-C4</f>
        <v>166217581</v>
      </c>
      <c r="J4" s="69">
        <f>F4/C4*100-100</f>
        <v>4.8547542456574888</v>
      </c>
      <c r="K4" s="159">
        <f>K15+K17+K19+K22+K26+K28+K32+K34+K38+K43+K49+K56+K60+K66+K72+K76+K82+K86+K91+K96+K98+K100+K102+K107+K109+K111+K113+K115+K117+K119+K121</f>
        <v>3727753352</v>
      </c>
      <c r="L4" s="70">
        <f>K4/$K$4*100</f>
        <v>100</v>
      </c>
      <c r="M4" s="70">
        <f>K4/$K$135/1000000*100</f>
        <v>21.982270031843377</v>
      </c>
      <c r="N4" s="159">
        <f>N15+N17+N19+N22+N26+N28+N32+N34+N38+N43+N49+N56+N60+N66+N72+N76+N82+N86+N91+N96+N98+N100+N102+N107+N109+N111+N113+N115+N117+N119+N121</f>
        <v>3454631178</v>
      </c>
      <c r="O4" s="70">
        <f>N4/$N$4*100</f>
        <v>100</v>
      </c>
      <c r="P4" s="70">
        <f>N4/$N$135/1000000*100</f>
        <v>19.204451561257901</v>
      </c>
      <c r="Q4" s="75"/>
    </row>
    <row r="5" spans="1:20">
      <c r="A5" s="65"/>
      <c r="B5" s="115" t="s">
        <v>79</v>
      </c>
      <c r="C5" s="116">
        <f>C16+C18+C20+C23+C27+C29+C33+C35+C39+C44+C50+C57+C61+C67+C73+C77+C83+C87+C92+C97+C99+C101+C103+C108+C110+C112+C114+C116+C118+C120+C122</f>
        <v>2264569237</v>
      </c>
      <c r="D5" s="70">
        <f t="shared" ref="D5:D68" si="1">C5/$C$4*100</f>
        <v>66.141782666847178</v>
      </c>
      <c r="E5" s="70">
        <f t="shared" ref="E5:E68" si="2">C5/$C$135/1000000*100</f>
        <v>15.682612444598337</v>
      </c>
      <c r="F5" s="116">
        <f>F16+F18+F20+F23+F27+F29+F33+F35+F39+F44+F50+F57+F61+F67+F73+F77+F83+F87+F92+F97+F99+F101+F103+F108+F110+F112+F114+F116+F118+F120+F122</f>
        <v>2425016499</v>
      </c>
      <c r="G5" s="70">
        <f t="shared" ref="G5:G68" si="3">F5/$F$4*100</f>
        <v>67.548679521630888</v>
      </c>
      <c r="H5" s="70">
        <f t="shared" si="0"/>
        <v>15.170101022801916</v>
      </c>
      <c r="I5" s="61">
        <f t="shared" ref="I5:I29" si="4">F5-C5</f>
        <v>160447262</v>
      </c>
      <c r="J5" s="60">
        <f t="shared" ref="J5:J29" si="5">F5/C5*100-100</f>
        <v>7.0851117898498472</v>
      </c>
      <c r="K5" s="116">
        <f>K16+K18+K20+K23+K27+K29+K33+K35+K39+K44+K50+K57+K61+K67+K73+K77+K83+K87+K92+K97+K99+K101+K103+K108+K110+K112+K114+K116+K118+K120+K122</f>
        <v>2654483820</v>
      </c>
      <c r="L5" s="70">
        <f t="shared" ref="L5:L68" si="6">K5/$K$4*100</f>
        <v>71.208676362019148</v>
      </c>
      <c r="M5" s="70">
        <f t="shared" ref="M5:M68" si="7">K5/$K$135/1000000*100</f>
        <v>15.653283524000472</v>
      </c>
      <c r="N5" s="116">
        <f>N16+N18+N20+N23+N27+N29+N33+N35+N39+N44+N50+N57+N61+N67+N73+N77+N83+N87+N92+N97+N99+N101+N103+N108+N110+N112+N114+N116+N118+N120+N122</f>
        <v>2659057216</v>
      </c>
      <c r="O5" s="70">
        <f t="shared" ref="O5:O68" si="8">N5/$N$4*100</f>
        <v>76.970798878142929</v>
      </c>
      <c r="P5" s="70">
        <f t="shared" ref="P5:P68" si="9">N5/$N$135/1000000*100</f>
        <v>14.781819786866199</v>
      </c>
      <c r="Q5" s="75"/>
      <c r="S5" s="160"/>
      <c r="T5" s="51"/>
    </row>
    <row r="6" spans="1:20" ht="26.25">
      <c r="A6" s="65"/>
      <c r="B6" s="118" t="s">
        <v>43</v>
      </c>
      <c r="C6" s="119">
        <f>C36+C62+C68+C88</f>
        <v>1568686</v>
      </c>
      <c r="D6" s="70">
        <f t="shared" si="1"/>
        <v>4.5816964564076086E-2</v>
      </c>
      <c r="E6" s="70">
        <f t="shared" si="2"/>
        <v>1.0863476454293629E-2</v>
      </c>
      <c r="F6" s="119">
        <f>F36+F41+F45+F62+F68+F88</f>
        <v>297760</v>
      </c>
      <c r="G6" s="70">
        <f t="shared" si="3"/>
        <v>8.2940857609236484E-3</v>
      </c>
      <c r="H6" s="70">
        <f t="shared" si="0"/>
        <v>1.8626880610553313E-3</v>
      </c>
      <c r="I6" s="61">
        <f t="shared" si="4"/>
        <v>-1270926</v>
      </c>
      <c r="J6" s="60">
        <f t="shared" si="5"/>
        <v>-81.018508484170837</v>
      </c>
      <c r="K6" s="119">
        <f>K36+K41+K45+K62+K68+K88</f>
        <v>77760</v>
      </c>
      <c r="L6" s="70">
        <f t="shared" si="6"/>
        <v>2.0859749199415383E-3</v>
      </c>
      <c r="M6" s="70">
        <f t="shared" si="7"/>
        <v>4.5854463969807762E-4</v>
      </c>
      <c r="N6" s="119">
        <f>N36+N41+N45+N62+N68+N88</f>
        <v>0</v>
      </c>
      <c r="O6" s="70">
        <f t="shared" si="8"/>
        <v>0</v>
      </c>
      <c r="P6" s="70">
        <f t="shared" si="9"/>
        <v>0</v>
      </c>
      <c r="Q6" s="75"/>
      <c r="T6" s="51"/>
    </row>
    <row r="7" spans="1:20">
      <c r="A7" s="65"/>
      <c r="B7" s="120" t="s">
        <v>80</v>
      </c>
      <c r="C7" s="121">
        <f>C21+C24+C30+C37+C42+C46+C53+C58+C63+C69+C74+C79+C84+C89+C94+C104+C127</f>
        <v>1159241168</v>
      </c>
      <c r="D7" s="70">
        <f t="shared" si="1"/>
        <v>33.85821733315283</v>
      </c>
      <c r="E7" s="70">
        <f t="shared" si="2"/>
        <v>8.0279859279778396</v>
      </c>
      <c r="F7" s="121">
        <f>F21+F24+F30+F37+F42+F46+F53+F58+F63+F69+F74+F79+F84+F89+F94+F104+F127</f>
        <v>1165011487</v>
      </c>
      <c r="G7" s="70">
        <f t="shared" si="3"/>
        <v>32.451320478369105</v>
      </c>
      <c r="H7" s="70">
        <f t="shared" si="0"/>
        <v>7.2879264771198899</v>
      </c>
      <c r="I7" s="61">
        <f t="shared" si="4"/>
        <v>5770319</v>
      </c>
      <c r="J7" s="60">
        <f t="shared" si="5"/>
        <v>0.49776691505489623</v>
      </c>
      <c r="K7" s="121">
        <f>K21+K24+K30+K37+K42+K46+K53+K58+K63+K69+K74+K79+K84+K89+K94+K104+K127</f>
        <v>1073269532</v>
      </c>
      <c r="L7" s="70">
        <f t="shared" si="6"/>
        <v>28.791323637980863</v>
      </c>
      <c r="M7" s="70">
        <f t="shared" si="7"/>
        <v>6.328986507842906</v>
      </c>
      <c r="N7" s="121">
        <f>N21+N24+N30+N37+N42+N46+N53+N58+N63+N69+N74+N79+N84+N89+N94+N104+N127</f>
        <v>795573962</v>
      </c>
      <c r="O7" s="70">
        <f t="shared" si="8"/>
        <v>23.029201121857067</v>
      </c>
      <c r="P7" s="70">
        <f t="shared" si="9"/>
        <v>4.422631774391701</v>
      </c>
      <c r="Q7" s="75"/>
      <c r="S7" s="160"/>
      <c r="T7" s="51"/>
    </row>
    <row r="8" spans="1:20" ht="26.25">
      <c r="A8" s="65"/>
      <c r="B8" s="122" t="s">
        <v>44</v>
      </c>
      <c r="C8" s="123">
        <f>C31+C47+C54+C59+C64+C70+C75+C80+C90+C105+C85+C95</f>
        <v>164783949</v>
      </c>
      <c r="D8" s="70">
        <f t="shared" si="1"/>
        <v>4.8128818336247798</v>
      </c>
      <c r="E8" s="70">
        <f t="shared" si="2"/>
        <v>1.1411630817174514</v>
      </c>
      <c r="F8" s="123">
        <f>F31+F47+F54+F59+F64+F70+F75+F80+F90+F105+F85+F95</f>
        <v>203216325</v>
      </c>
      <c r="G8" s="70">
        <f t="shared" si="3"/>
        <v>5.6605777390171017</v>
      </c>
      <c r="H8" s="70">
        <f t="shared" si="0"/>
        <v>1.2712541052829127</v>
      </c>
      <c r="I8" s="61">
        <f t="shared" si="4"/>
        <v>38432376</v>
      </c>
      <c r="J8" s="60">
        <f t="shared" si="5"/>
        <v>23.322888080561782</v>
      </c>
      <c r="K8" s="123">
        <f>K31+K47+K54+K59+K64+K70+K75+K80+K90+K105+K85+K95</f>
        <v>101246917</v>
      </c>
      <c r="L8" s="70">
        <f t="shared" si="6"/>
        <v>2.7160304730375842</v>
      </c>
      <c r="M8" s="70">
        <f t="shared" si="7"/>
        <v>0.59704515273027481</v>
      </c>
      <c r="N8" s="123">
        <f>N31+N47+N54+N59+N64+N70+N75+N80+N90+N105+N85+N95</f>
        <v>24011778</v>
      </c>
      <c r="O8" s="70">
        <f t="shared" si="8"/>
        <v>0.69506053650280575</v>
      </c>
      <c r="P8" s="70">
        <f t="shared" si="9"/>
        <v>0.13348256405410064</v>
      </c>
      <c r="Q8" s="75"/>
      <c r="S8" s="51"/>
    </row>
    <row r="9" spans="1:20" ht="26.25">
      <c r="A9" s="65"/>
      <c r="B9" s="118" t="s">
        <v>43</v>
      </c>
      <c r="C9" s="124">
        <f>C48+C55+C65+C71+C106</f>
        <v>397587</v>
      </c>
      <c r="D9" s="70">
        <f t="shared" si="1"/>
        <v>1.1612412866652294E-2</v>
      </c>
      <c r="E9" s="70">
        <f t="shared" si="2"/>
        <v>2.7533725761772852E-3</v>
      </c>
      <c r="F9" s="124">
        <f>F48+F55+F65+F71+F106</f>
        <v>657939</v>
      </c>
      <c r="G9" s="70">
        <f t="shared" si="3"/>
        <v>1.8326848775713136E-2</v>
      </c>
      <c r="H9" s="70">
        <f t="shared" si="0"/>
        <v>4.1158487379187392E-3</v>
      </c>
      <c r="I9" s="61">
        <f t="shared" si="4"/>
        <v>260352</v>
      </c>
      <c r="J9" s="60">
        <f t="shared" si="5"/>
        <v>65.483026356495571</v>
      </c>
      <c r="K9" s="124">
        <f>K48+K55+K65+K71+K106</f>
        <v>0</v>
      </c>
      <c r="L9" s="70">
        <f t="shared" si="6"/>
        <v>0</v>
      </c>
      <c r="M9" s="70">
        <f t="shared" si="7"/>
        <v>0</v>
      </c>
      <c r="N9" s="124">
        <f>N48+N55+N65+N71+N106</f>
        <v>0</v>
      </c>
      <c r="O9" s="70">
        <f t="shared" si="8"/>
        <v>0</v>
      </c>
      <c r="P9" s="70">
        <f t="shared" si="9"/>
        <v>0</v>
      </c>
      <c r="Q9" s="75"/>
      <c r="T9" s="51"/>
    </row>
    <row r="10" spans="1:20">
      <c r="A10" s="65"/>
      <c r="B10" s="113" t="s">
        <v>81</v>
      </c>
      <c r="C10" s="114">
        <f>C4-C6-C8-C9</f>
        <v>3257060183</v>
      </c>
      <c r="D10" s="70">
        <f t="shared" si="1"/>
        <v>95.129688788944492</v>
      </c>
      <c r="E10" s="70">
        <f t="shared" si="2"/>
        <v>22.555818441828258</v>
      </c>
      <c r="F10" s="114">
        <f>F4-F6-F8-F9</f>
        <v>3385855962</v>
      </c>
      <c r="G10" s="70">
        <f t="shared" si="3"/>
        <v>94.312801326446262</v>
      </c>
      <c r="H10" s="70">
        <f t="shared" si="0"/>
        <v>21.180794857839917</v>
      </c>
      <c r="I10" s="61">
        <f t="shared" si="4"/>
        <v>128795779</v>
      </c>
      <c r="J10" s="60">
        <f t="shared" si="5"/>
        <v>3.9543567439202008</v>
      </c>
      <c r="K10" s="114">
        <f>K4-K6-K8-K9</f>
        <v>3626428675</v>
      </c>
      <c r="L10" s="70">
        <f t="shared" si="6"/>
        <v>97.281883552042473</v>
      </c>
      <c r="M10" s="70">
        <f t="shared" si="7"/>
        <v>21.384766334473408</v>
      </c>
      <c r="N10" s="114">
        <f>N4-N6-N8-N9</f>
        <v>3430619400</v>
      </c>
      <c r="O10" s="70">
        <f t="shared" si="8"/>
        <v>99.304939463497206</v>
      </c>
      <c r="P10" s="70">
        <f t="shared" si="9"/>
        <v>19.070968997203799</v>
      </c>
      <c r="Q10" s="75"/>
    </row>
    <row r="11" spans="1:20">
      <c r="A11" s="65"/>
      <c r="B11" s="125" t="s">
        <v>79</v>
      </c>
      <c r="C11" s="117">
        <f>C5-C6</f>
        <v>2263000551</v>
      </c>
      <c r="D11" s="70">
        <f t="shared" si="1"/>
        <v>66.095965702283095</v>
      </c>
      <c r="E11" s="70">
        <f t="shared" si="2"/>
        <v>15.671748968144044</v>
      </c>
      <c r="F11" s="117">
        <f>F5-F6</f>
        <v>2424718739</v>
      </c>
      <c r="G11" s="70">
        <f t="shared" si="3"/>
        <v>67.540385435869965</v>
      </c>
      <c r="H11" s="70">
        <f t="shared" si="0"/>
        <v>15.168238334740858</v>
      </c>
      <c r="I11" s="61">
        <f t="shared" si="4"/>
        <v>161718188</v>
      </c>
      <c r="J11" s="60">
        <f t="shared" si="5"/>
        <v>7.1461842078888651</v>
      </c>
      <c r="K11" s="117">
        <f>K5-K6</f>
        <v>2654406060</v>
      </c>
      <c r="L11" s="70">
        <f t="shared" si="6"/>
        <v>71.206590387099197</v>
      </c>
      <c r="M11" s="70">
        <f t="shared" si="7"/>
        <v>15.652824979360775</v>
      </c>
      <c r="N11" s="117">
        <f>N5-N6</f>
        <v>2659057216</v>
      </c>
      <c r="O11" s="70">
        <f t="shared" si="8"/>
        <v>76.970798878142929</v>
      </c>
      <c r="P11" s="70">
        <f t="shared" si="9"/>
        <v>14.781819786866199</v>
      </c>
      <c r="Q11" s="75"/>
      <c r="S11" s="51"/>
    </row>
    <row r="12" spans="1:20">
      <c r="A12" s="65"/>
      <c r="B12" s="126" t="s">
        <v>12</v>
      </c>
      <c r="C12" s="127">
        <f>C40+C78</f>
        <v>15010694</v>
      </c>
      <c r="D12" s="70">
        <f t="shared" si="1"/>
        <v>0.43842071331049659</v>
      </c>
      <c r="E12" s="70">
        <f t="shared" si="2"/>
        <v>0.10395217451523543</v>
      </c>
      <c r="F12" s="127">
        <f>F40+F78</f>
        <v>18497798</v>
      </c>
      <c r="G12" s="70">
        <f t="shared" si="3"/>
        <v>0.51525498052203766</v>
      </c>
      <c r="H12" s="70">
        <f t="shared" si="0"/>
        <v>0.11571610522035594</v>
      </c>
      <c r="I12" s="61">
        <f t="shared" si="4"/>
        <v>3487104</v>
      </c>
      <c r="J12" s="60">
        <f t="shared" si="5"/>
        <v>23.230797989753185</v>
      </c>
      <c r="K12" s="127">
        <f>K40+K78</f>
        <v>144934992</v>
      </c>
      <c r="L12" s="70">
        <f t="shared" si="6"/>
        <v>3.8879984353642936</v>
      </c>
      <c r="M12" s="70">
        <f t="shared" si="7"/>
        <v>0.85467031489562462</v>
      </c>
      <c r="N12" s="127">
        <f>N40+N78</f>
        <v>139657447</v>
      </c>
      <c r="O12" s="70">
        <f t="shared" si="8"/>
        <v>4.0426152548316985</v>
      </c>
      <c r="P12" s="70">
        <f t="shared" si="9"/>
        <v>0.77636208842217613</v>
      </c>
      <c r="Q12" s="75"/>
      <c r="S12" s="51"/>
    </row>
    <row r="13" spans="1:20">
      <c r="A13" s="65"/>
      <c r="B13" s="128" t="s">
        <v>80</v>
      </c>
      <c r="C13" s="129">
        <f>C7-C8-C9</f>
        <v>994059632</v>
      </c>
      <c r="D13" s="70">
        <f t="shared" si="1"/>
        <v>29.033723086661396</v>
      </c>
      <c r="E13" s="70">
        <f t="shared" si="2"/>
        <v>6.8840694736842112</v>
      </c>
      <c r="F13" s="129">
        <f>F7-F8-F9</f>
        <v>961137223</v>
      </c>
      <c r="G13" s="70">
        <f t="shared" si="3"/>
        <v>26.772415890576291</v>
      </c>
      <c r="H13" s="70"/>
      <c r="I13" s="61">
        <f t="shared" si="4"/>
        <v>-32922409</v>
      </c>
      <c r="J13" s="60">
        <f t="shared" si="5"/>
        <v>-3.311914893250588</v>
      </c>
      <c r="K13" s="129">
        <f>K7-K8-K9</f>
        <v>972022615</v>
      </c>
      <c r="L13" s="70">
        <f t="shared" si="6"/>
        <v>26.075293164943282</v>
      </c>
      <c r="M13" s="70">
        <f t="shared" si="7"/>
        <v>5.7319413551126308</v>
      </c>
      <c r="N13" s="129">
        <f>N7-N8-N9</f>
        <v>771562184</v>
      </c>
      <c r="O13" s="70">
        <f t="shared" si="8"/>
        <v>22.334140585354262</v>
      </c>
      <c r="P13" s="70">
        <f t="shared" si="9"/>
        <v>4.2891492103376008</v>
      </c>
      <c r="Q13" s="75"/>
    </row>
    <row r="14" spans="1:20">
      <c r="A14" s="65"/>
      <c r="B14" s="126" t="s">
        <v>12</v>
      </c>
      <c r="C14" s="130">
        <f>C81</f>
        <v>0</v>
      </c>
      <c r="D14" s="70">
        <f t="shared" si="1"/>
        <v>0</v>
      </c>
      <c r="E14" s="70">
        <f t="shared" si="2"/>
        <v>0</v>
      </c>
      <c r="F14" s="130">
        <f>F81</f>
        <v>919833</v>
      </c>
      <c r="G14" s="70">
        <f t="shared" si="3"/>
        <v>2.5621889399945193E-2</v>
      </c>
      <c r="H14" s="70">
        <f t="shared" ref="H14:H29" si="10">F14/$F$135/1000000*100</f>
        <v>5.7541709674392419E-3</v>
      </c>
      <c r="I14" s="61">
        <f t="shared" si="4"/>
        <v>919833</v>
      </c>
      <c r="J14" s="60"/>
      <c r="K14" s="130">
        <f>K81</f>
        <v>273844</v>
      </c>
      <c r="L14" s="70">
        <f t="shared" si="6"/>
        <v>7.3460868824134591E-3</v>
      </c>
      <c r="M14" s="70">
        <f t="shared" si="7"/>
        <v>1.614836655265951E-3</v>
      </c>
      <c r="N14" s="130">
        <f>N81</f>
        <v>0</v>
      </c>
      <c r="O14" s="70">
        <f t="shared" si="8"/>
        <v>0</v>
      </c>
      <c r="P14" s="70">
        <f t="shared" si="9"/>
        <v>0</v>
      </c>
      <c r="Q14" s="75"/>
    </row>
    <row r="15" spans="1:20" s="59" customFormat="1">
      <c r="A15" s="64"/>
      <c r="B15" s="131" t="s">
        <v>82</v>
      </c>
      <c r="C15" s="132">
        <v>2133218</v>
      </c>
      <c r="D15" s="70">
        <f t="shared" si="1"/>
        <v>6.2305377566606236E-2</v>
      </c>
      <c r="E15" s="70">
        <f t="shared" si="2"/>
        <v>1.4772977839335181E-2</v>
      </c>
      <c r="F15" s="132">
        <v>2296988</v>
      </c>
      <c r="G15" s="70">
        <f t="shared" si="3"/>
        <v>6.398245386825796E-2</v>
      </c>
      <c r="H15" s="70">
        <f t="shared" si="10"/>
        <v>1.4369197084858154E-2</v>
      </c>
      <c r="I15" s="61">
        <f t="shared" si="4"/>
        <v>163770</v>
      </c>
      <c r="J15" s="60">
        <f t="shared" si="5"/>
        <v>7.6771337950458047</v>
      </c>
      <c r="K15" s="132">
        <v>2426332</v>
      </c>
      <c r="L15" s="70">
        <f t="shared" si="6"/>
        <v>6.5088319180190229E-2</v>
      </c>
      <c r="M15" s="70">
        <f t="shared" si="7"/>
        <v>1.4307890081377523E-2</v>
      </c>
      <c r="N15" s="132">
        <v>2628046</v>
      </c>
      <c r="O15" s="70">
        <f t="shared" si="8"/>
        <v>7.6073128058824005E-2</v>
      </c>
      <c r="P15" s="70">
        <f t="shared" si="9"/>
        <v>1.4609427029190547E-2</v>
      </c>
      <c r="Q15" s="75"/>
      <c r="S15" s="161"/>
      <c r="T15" s="161"/>
    </row>
    <row r="16" spans="1:20" s="59" customFormat="1">
      <c r="A16" s="64"/>
      <c r="B16" s="115" t="s">
        <v>79</v>
      </c>
      <c r="C16" s="133">
        <v>2133218</v>
      </c>
      <c r="D16" s="70">
        <f t="shared" si="1"/>
        <v>6.2305377566606236E-2</v>
      </c>
      <c r="E16" s="70">
        <f t="shared" si="2"/>
        <v>1.4772977839335181E-2</v>
      </c>
      <c r="F16" s="133">
        <v>2296988</v>
      </c>
      <c r="G16" s="70">
        <f t="shared" si="3"/>
        <v>6.398245386825796E-2</v>
      </c>
      <c r="H16" s="70">
        <f t="shared" si="10"/>
        <v>1.4369197084858154E-2</v>
      </c>
      <c r="I16" s="61">
        <f t="shared" si="4"/>
        <v>163770</v>
      </c>
      <c r="J16" s="60">
        <f t="shared" si="5"/>
        <v>7.6771337950458047</v>
      </c>
      <c r="K16" s="133">
        <v>2426332</v>
      </c>
      <c r="L16" s="70">
        <f t="shared" si="6"/>
        <v>6.5088319180190229E-2</v>
      </c>
      <c r="M16" s="70">
        <f t="shared" si="7"/>
        <v>1.4307890081377523E-2</v>
      </c>
      <c r="N16" s="133">
        <v>2628046</v>
      </c>
      <c r="O16" s="70">
        <f t="shared" si="8"/>
        <v>7.6073128058824005E-2</v>
      </c>
      <c r="P16" s="70">
        <f t="shared" si="9"/>
        <v>1.4609427029190547E-2</v>
      </c>
      <c r="Q16" s="75"/>
    </row>
    <row r="17" spans="1:20">
      <c r="A17" s="65"/>
      <c r="B17" s="131" t="s">
        <v>83</v>
      </c>
      <c r="C17" s="132">
        <v>11462228</v>
      </c>
      <c r="D17" s="70">
        <f t="shared" si="1"/>
        <v>0.33477986933099468</v>
      </c>
      <c r="E17" s="70">
        <f t="shared" si="2"/>
        <v>7.9378310249307485E-2</v>
      </c>
      <c r="F17" s="132">
        <v>11955210</v>
      </c>
      <c r="G17" s="70">
        <f t="shared" si="3"/>
        <v>0.33301161012174907</v>
      </c>
      <c r="H17" s="70">
        <f t="shared" si="10"/>
        <v>7.4787838979074789E-2</v>
      </c>
      <c r="I17" s="61">
        <f t="shared" si="4"/>
        <v>492982</v>
      </c>
      <c r="J17" s="60">
        <f t="shared" si="5"/>
        <v>4.3009264865434602</v>
      </c>
      <c r="K17" s="132">
        <v>15012652</v>
      </c>
      <c r="L17" s="70">
        <f t="shared" si="6"/>
        <v>0.40272653747183862</v>
      </c>
      <c r="M17" s="70">
        <f t="shared" si="7"/>
        <v>8.8528434956952465E-2</v>
      </c>
      <c r="N17" s="132">
        <v>13282620</v>
      </c>
      <c r="O17" s="70">
        <f t="shared" si="8"/>
        <v>0.38448735380457449</v>
      </c>
      <c r="P17" s="70">
        <f t="shared" si="9"/>
        <v>7.3838687620561783E-2</v>
      </c>
      <c r="Q17" s="75"/>
    </row>
    <row r="18" spans="1:20" s="59" customFormat="1">
      <c r="A18" s="64"/>
      <c r="B18" s="115" t="s">
        <v>79</v>
      </c>
      <c r="C18" s="134">
        <v>11462228</v>
      </c>
      <c r="D18" s="70">
        <f t="shared" si="1"/>
        <v>0.33477986933099468</v>
      </c>
      <c r="E18" s="70">
        <f t="shared" si="2"/>
        <v>7.9378310249307485E-2</v>
      </c>
      <c r="F18" s="134">
        <v>11955210</v>
      </c>
      <c r="G18" s="70">
        <f t="shared" si="3"/>
        <v>0.33301161012174907</v>
      </c>
      <c r="H18" s="70">
        <f t="shared" si="10"/>
        <v>7.4787838979074789E-2</v>
      </c>
      <c r="I18" s="61">
        <f t="shared" si="4"/>
        <v>492982</v>
      </c>
      <c r="J18" s="60">
        <f t="shared" si="5"/>
        <v>4.3009264865434602</v>
      </c>
      <c r="K18" s="134">
        <v>15012652</v>
      </c>
      <c r="L18" s="70">
        <f t="shared" si="6"/>
        <v>0.40272653747183862</v>
      </c>
      <c r="M18" s="70">
        <f t="shared" si="7"/>
        <v>8.8528434956952465E-2</v>
      </c>
      <c r="N18" s="134">
        <v>13282620</v>
      </c>
      <c r="O18" s="70">
        <f t="shared" si="8"/>
        <v>0.38448735380457449</v>
      </c>
      <c r="P18" s="70">
        <f t="shared" si="9"/>
        <v>7.3838687620561783E-2</v>
      </c>
      <c r="Q18" s="75"/>
    </row>
    <row r="19" spans="1:20">
      <c r="A19" s="65"/>
      <c r="B19" s="135" t="s">
        <v>84</v>
      </c>
      <c r="C19" s="132">
        <v>3450477</v>
      </c>
      <c r="D19" s="70">
        <f t="shared" si="1"/>
        <v>0.10077885723348048</v>
      </c>
      <c r="E19" s="70">
        <f t="shared" si="2"/>
        <v>2.3895270083102497E-2</v>
      </c>
      <c r="F19" s="132">
        <v>4444518</v>
      </c>
      <c r="G19" s="70">
        <f t="shared" si="3"/>
        <v>0.12380176470301199</v>
      </c>
      <c r="H19" s="70">
        <f t="shared" si="10"/>
        <v>2.7803434362390918E-2</v>
      </c>
      <c r="I19" s="61">
        <f t="shared" si="4"/>
        <v>994041</v>
      </c>
      <c r="J19" s="60">
        <f t="shared" si="5"/>
        <v>28.808799479028551</v>
      </c>
      <c r="K19" s="132">
        <v>2964898</v>
      </c>
      <c r="L19" s="70">
        <f t="shared" si="6"/>
        <v>7.9535787913899508E-2</v>
      </c>
      <c r="M19" s="70">
        <f t="shared" si="7"/>
        <v>1.7483771671187639E-2</v>
      </c>
      <c r="N19" s="132">
        <v>2875135</v>
      </c>
      <c r="O19" s="70">
        <f t="shared" si="8"/>
        <v>8.3225526890095131E-2</v>
      </c>
      <c r="P19" s="70">
        <f t="shared" si="9"/>
        <v>1.5983005998209988E-2</v>
      </c>
      <c r="Q19" s="75"/>
      <c r="T19" s="51"/>
    </row>
    <row r="20" spans="1:20">
      <c r="A20" s="65"/>
      <c r="B20" s="115" t="s">
        <v>79</v>
      </c>
      <c r="C20" s="134">
        <v>2451205</v>
      </c>
      <c r="D20" s="70">
        <f t="shared" si="1"/>
        <v>7.1592895343163723E-2</v>
      </c>
      <c r="E20" s="70">
        <f t="shared" si="2"/>
        <v>1.6975103878116345E-2</v>
      </c>
      <c r="F20" s="134">
        <v>3501959</v>
      </c>
      <c r="G20" s="70">
        <f t="shared" si="3"/>
        <v>9.754684402619028E-2</v>
      </c>
      <c r="H20" s="70">
        <f t="shared" si="10"/>
        <v>2.1907097056707642E-2</v>
      </c>
      <c r="I20" s="61">
        <f t="shared" si="4"/>
        <v>1050754</v>
      </c>
      <c r="J20" s="60">
        <f t="shared" si="5"/>
        <v>42.8668348832513</v>
      </c>
      <c r="K20" s="134">
        <v>2716468</v>
      </c>
      <c r="L20" s="70">
        <f t="shared" si="6"/>
        <v>7.2871452145367152E-2</v>
      </c>
      <c r="M20" s="70">
        <f t="shared" si="7"/>
        <v>1.6018799386720132E-2</v>
      </c>
      <c r="N20" s="134">
        <v>2683026</v>
      </c>
      <c r="O20" s="70">
        <f t="shared" si="8"/>
        <v>7.7664614882370517E-2</v>
      </c>
      <c r="P20" s="70">
        <f t="shared" si="9"/>
        <v>1.4915063345322341E-2</v>
      </c>
      <c r="Q20" s="75"/>
      <c r="S20" s="51"/>
    </row>
    <row r="21" spans="1:20">
      <c r="A21" s="65"/>
      <c r="B21" s="120" t="s">
        <v>80</v>
      </c>
      <c r="C21" s="136">
        <v>999272</v>
      </c>
      <c r="D21" s="70">
        <f t="shared" si="1"/>
        <v>2.9185961890316765E-2</v>
      </c>
      <c r="E21" s="70">
        <f t="shared" si="2"/>
        <v>6.9201662049861497E-3</v>
      </c>
      <c r="F21" s="136">
        <v>942559</v>
      </c>
      <c r="G21" s="70">
        <f t="shared" si="3"/>
        <v>2.6254920676821707E-2</v>
      </c>
      <c r="H21" s="70">
        <f t="shared" si="10"/>
        <v>5.8963373056832762E-3</v>
      </c>
      <c r="I21" s="61">
        <f t="shared" si="4"/>
        <v>-56713</v>
      </c>
      <c r="J21" s="60">
        <f t="shared" si="5"/>
        <v>-5.6754317142880097</v>
      </c>
      <c r="K21" s="136">
        <v>248430</v>
      </c>
      <c r="L21" s="70">
        <f t="shared" si="6"/>
        <v>6.6643357685323597E-3</v>
      </c>
      <c r="M21" s="70">
        <f t="shared" si="7"/>
        <v>1.4649722844675079E-3</v>
      </c>
      <c r="N21" s="136">
        <v>192109</v>
      </c>
      <c r="O21" s="70">
        <f t="shared" si="8"/>
        <v>5.5609120077246051E-3</v>
      </c>
      <c r="P21" s="70">
        <f t="shared" si="9"/>
        <v>1.067942652887646E-3</v>
      </c>
      <c r="Q21" s="75"/>
    </row>
    <row r="22" spans="1:20">
      <c r="A22" s="65"/>
      <c r="B22" s="137" t="s">
        <v>85</v>
      </c>
      <c r="C22" s="132">
        <v>2790364</v>
      </c>
      <c r="D22" s="70">
        <f t="shared" si="1"/>
        <v>8.1498788482126827E-2</v>
      </c>
      <c r="E22" s="70">
        <f t="shared" si="2"/>
        <v>1.9323850415512465E-2</v>
      </c>
      <c r="F22" s="132">
        <v>2980259</v>
      </c>
      <c r="G22" s="70">
        <f t="shared" si="3"/>
        <v>8.3014923884217329E-2</v>
      </c>
      <c r="H22" s="70">
        <f t="shared" si="10"/>
        <v>1.8643514434956678E-2</v>
      </c>
      <c r="I22" s="61">
        <f t="shared" si="4"/>
        <v>189895</v>
      </c>
      <c r="J22" s="60">
        <f t="shared" si="5"/>
        <v>6.8053845304770277</v>
      </c>
      <c r="K22" s="132">
        <v>2957259</v>
      </c>
      <c r="L22" s="70">
        <f t="shared" si="6"/>
        <v>7.9330865557759686E-2</v>
      </c>
      <c r="M22" s="70">
        <f t="shared" si="7"/>
        <v>1.7438725085505365E-2</v>
      </c>
      <c r="N22" s="132">
        <v>2913989</v>
      </c>
      <c r="O22" s="70">
        <f t="shared" si="8"/>
        <v>8.4350220033821505E-2</v>
      </c>
      <c r="P22" s="70">
        <f t="shared" si="9"/>
        <v>1.6198997148209708E-2</v>
      </c>
      <c r="Q22" s="75"/>
    </row>
    <row r="23" spans="1:20" s="59" customFormat="1">
      <c r="A23" s="64"/>
      <c r="B23" s="115" t="s">
        <v>79</v>
      </c>
      <c r="C23" s="134">
        <v>2790364</v>
      </c>
      <c r="D23" s="70">
        <f t="shared" si="1"/>
        <v>8.1498788482126827E-2</v>
      </c>
      <c r="E23" s="70">
        <f t="shared" si="2"/>
        <v>1.9323850415512465E-2</v>
      </c>
      <c r="F23" s="134">
        <v>2980259</v>
      </c>
      <c r="G23" s="70">
        <f t="shared" si="3"/>
        <v>8.3014923884217329E-2</v>
      </c>
      <c r="H23" s="70">
        <f t="shared" si="10"/>
        <v>1.8643514434956678E-2</v>
      </c>
      <c r="I23" s="61">
        <f t="shared" si="4"/>
        <v>189895</v>
      </c>
      <c r="J23" s="60">
        <f t="shared" si="5"/>
        <v>6.8053845304770277</v>
      </c>
      <c r="K23" s="134">
        <v>2957259</v>
      </c>
      <c r="L23" s="70">
        <f t="shared" si="6"/>
        <v>7.9330865557759686E-2</v>
      </c>
      <c r="M23" s="70">
        <f t="shared" si="7"/>
        <v>1.7438725085505365E-2</v>
      </c>
      <c r="N23" s="134">
        <v>2913989</v>
      </c>
      <c r="O23" s="70">
        <f t="shared" si="8"/>
        <v>8.4350220033821505E-2</v>
      </c>
      <c r="P23" s="70">
        <f t="shared" si="9"/>
        <v>1.6198997148209708E-2</v>
      </c>
      <c r="Q23" s="75"/>
    </row>
    <row r="24" spans="1:20" s="59" customFormat="1" ht="15.6" customHeight="1">
      <c r="A24" s="64"/>
      <c r="B24" s="120" t="s">
        <v>80</v>
      </c>
      <c r="C24" s="136"/>
      <c r="D24" s="70">
        <f t="shared" si="1"/>
        <v>0</v>
      </c>
      <c r="E24" s="70">
        <f t="shared" si="2"/>
        <v>0</v>
      </c>
      <c r="F24" s="136"/>
      <c r="G24" s="70">
        <f t="shared" si="3"/>
        <v>0</v>
      </c>
      <c r="H24" s="70">
        <f t="shared" si="10"/>
        <v>0</v>
      </c>
      <c r="I24" s="61">
        <f t="shared" si="4"/>
        <v>0</v>
      </c>
      <c r="J24" s="60"/>
      <c r="K24" s="136"/>
      <c r="L24" s="70">
        <f t="shared" si="6"/>
        <v>0</v>
      </c>
      <c r="M24" s="70">
        <f t="shared" si="7"/>
        <v>0</v>
      </c>
      <c r="N24" s="136"/>
      <c r="O24" s="70">
        <f t="shared" si="8"/>
        <v>0</v>
      </c>
      <c r="P24" s="70">
        <f t="shared" si="9"/>
        <v>0</v>
      </c>
      <c r="Q24" s="75"/>
    </row>
    <row r="25" spans="1:20" s="59" customFormat="1" ht="28.5" customHeight="1">
      <c r="A25" s="64"/>
      <c r="B25" s="122" t="s">
        <v>44</v>
      </c>
      <c r="C25" s="136"/>
      <c r="D25" s="70">
        <f t="shared" si="1"/>
        <v>0</v>
      </c>
      <c r="E25" s="70">
        <f t="shared" si="2"/>
        <v>0</v>
      </c>
      <c r="F25" s="136"/>
      <c r="G25" s="70">
        <f t="shared" si="3"/>
        <v>0</v>
      </c>
      <c r="H25" s="70"/>
      <c r="I25" s="61"/>
      <c r="J25" s="60"/>
      <c r="K25" s="136"/>
      <c r="L25" s="70">
        <f t="shared" si="6"/>
        <v>0</v>
      </c>
      <c r="M25" s="70">
        <f t="shared" si="7"/>
        <v>0</v>
      </c>
      <c r="N25" s="136"/>
      <c r="O25" s="70">
        <f t="shared" si="8"/>
        <v>0</v>
      </c>
      <c r="P25" s="70">
        <f t="shared" si="9"/>
        <v>0</v>
      </c>
      <c r="Q25" s="75"/>
    </row>
    <row r="26" spans="1:20">
      <c r="A26" s="65"/>
      <c r="B26" s="138" t="s">
        <v>86</v>
      </c>
      <c r="C26" s="132">
        <v>681149</v>
      </c>
      <c r="D26" s="70">
        <f t="shared" si="1"/>
        <v>1.9894471931193283E-2</v>
      </c>
      <c r="E26" s="70">
        <f t="shared" si="2"/>
        <v>4.7170983379501387E-3</v>
      </c>
      <c r="F26" s="132">
        <v>681149</v>
      </c>
      <c r="G26" s="70">
        <f t="shared" si="3"/>
        <v>1.8973361841642201E-2</v>
      </c>
      <c r="H26" s="70">
        <f t="shared" si="10"/>
        <v>4.2610428200556749E-3</v>
      </c>
      <c r="I26" s="61">
        <f t="shared" si="4"/>
        <v>0</v>
      </c>
      <c r="J26" s="60">
        <f t="shared" si="5"/>
        <v>0</v>
      </c>
      <c r="K26" s="132">
        <v>681149</v>
      </c>
      <c r="L26" s="70">
        <f t="shared" si="6"/>
        <v>1.8272373080546023E-2</v>
      </c>
      <c r="M26" s="70">
        <f t="shared" si="7"/>
        <v>4.0166823917914844E-3</v>
      </c>
      <c r="N26" s="132">
        <v>681149</v>
      </c>
      <c r="O26" s="70">
        <f t="shared" si="8"/>
        <v>1.9716981781955075E-2</v>
      </c>
      <c r="P26" s="70">
        <f t="shared" si="9"/>
        <v>3.7865382156576071E-3</v>
      </c>
      <c r="Q26" s="75"/>
    </row>
    <row r="27" spans="1:20">
      <c r="A27" s="65"/>
      <c r="B27" s="115" t="s">
        <v>79</v>
      </c>
      <c r="C27" s="134">
        <v>681149</v>
      </c>
      <c r="D27" s="70">
        <f t="shared" si="1"/>
        <v>1.9894471931193283E-2</v>
      </c>
      <c r="E27" s="70">
        <f t="shared" si="2"/>
        <v>4.7170983379501387E-3</v>
      </c>
      <c r="F27" s="134">
        <v>681149</v>
      </c>
      <c r="G27" s="70">
        <f t="shared" si="3"/>
        <v>1.8973361841642201E-2</v>
      </c>
      <c r="H27" s="70">
        <f t="shared" si="10"/>
        <v>4.2610428200556749E-3</v>
      </c>
      <c r="I27" s="61">
        <f t="shared" si="4"/>
        <v>0</v>
      </c>
      <c r="J27" s="60">
        <f t="shared" si="5"/>
        <v>0</v>
      </c>
      <c r="K27" s="134">
        <v>681149</v>
      </c>
      <c r="L27" s="70">
        <f t="shared" si="6"/>
        <v>1.8272373080546023E-2</v>
      </c>
      <c r="M27" s="70">
        <f t="shared" si="7"/>
        <v>4.0166823917914844E-3</v>
      </c>
      <c r="N27" s="134">
        <v>681149</v>
      </c>
      <c r="O27" s="70">
        <f t="shared" si="8"/>
        <v>1.9716981781955075E-2</v>
      </c>
      <c r="P27" s="70">
        <f t="shared" si="9"/>
        <v>3.7865382156576071E-3</v>
      </c>
      <c r="Q27" s="75"/>
    </row>
    <row r="28" spans="1:20" s="59" customFormat="1">
      <c r="A28" s="64"/>
      <c r="B28" s="135" t="s">
        <v>87</v>
      </c>
      <c r="C28" s="132">
        <v>3287127</v>
      </c>
      <c r="D28" s="70">
        <f t="shared" si="1"/>
        <v>9.6007857070578656E-2</v>
      </c>
      <c r="E28" s="70">
        <f t="shared" si="2"/>
        <v>2.2764037396121886E-2</v>
      </c>
      <c r="F28" s="132">
        <v>2182840</v>
      </c>
      <c r="G28" s="70">
        <f t="shared" si="3"/>
        <v>6.0802868626996832E-2</v>
      </c>
      <c r="H28" s="70">
        <f t="shared" si="10"/>
        <v>1.3655124956992273E-2</v>
      </c>
      <c r="I28" s="61">
        <f t="shared" si="4"/>
        <v>-1104287</v>
      </c>
      <c r="J28" s="60">
        <f t="shared" si="5"/>
        <v>-33.594290698229784</v>
      </c>
      <c r="K28" s="132">
        <v>931436</v>
      </c>
      <c r="L28" s="70">
        <f t="shared" si="6"/>
        <v>2.4986524376680384E-2</v>
      </c>
      <c r="M28" s="70">
        <f t="shared" si="7"/>
        <v>5.4926052600542518E-3</v>
      </c>
      <c r="N28" s="132">
        <v>472756</v>
      </c>
      <c r="O28" s="70">
        <f t="shared" si="8"/>
        <v>1.3684702523691517E-2</v>
      </c>
      <c r="P28" s="70">
        <f t="shared" si="9"/>
        <v>2.6280720674645751E-3</v>
      </c>
      <c r="Q28" s="75"/>
    </row>
    <row r="29" spans="1:20">
      <c r="A29" s="65"/>
      <c r="B29" s="115" t="s">
        <v>79</v>
      </c>
      <c r="C29" s="134">
        <v>372756</v>
      </c>
      <c r="D29" s="70">
        <f t="shared" si="1"/>
        <v>1.0887168268886664E-2</v>
      </c>
      <c r="E29" s="70">
        <f t="shared" si="2"/>
        <v>2.5814127423822715E-3</v>
      </c>
      <c r="F29" s="134">
        <v>472756</v>
      </c>
      <c r="G29" s="70">
        <f t="shared" si="3"/>
        <v>1.3168588151501947E-2</v>
      </c>
      <c r="H29" s="70">
        <f t="shared" si="10"/>
        <v>2.9574051484157517E-3</v>
      </c>
      <c r="I29" s="61">
        <f t="shared" si="4"/>
        <v>100000</v>
      </c>
      <c r="J29" s="60">
        <f t="shared" si="5"/>
        <v>26.827200635268113</v>
      </c>
      <c r="K29" s="134">
        <v>472756</v>
      </c>
      <c r="L29" s="70">
        <f t="shared" si="6"/>
        <v>1.268206223317749E-2</v>
      </c>
      <c r="M29" s="70">
        <f t="shared" si="7"/>
        <v>2.7878051657035025E-3</v>
      </c>
      <c r="N29" s="134">
        <v>472756</v>
      </c>
      <c r="O29" s="70">
        <f t="shared" si="8"/>
        <v>1.3684702523691517E-2</v>
      </c>
      <c r="P29" s="70">
        <f t="shared" si="9"/>
        <v>2.6280720674645751E-3</v>
      </c>
      <c r="Q29" s="75"/>
    </row>
    <row r="30" spans="1:20">
      <c r="A30" s="65"/>
      <c r="B30" s="120" t="s">
        <v>80</v>
      </c>
      <c r="C30" s="136">
        <v>2914371</v>
      </c>
      <c r="D30" s="70">
        <f t="shared" si="1"/>
        <v>8.512068880169199E-2</v>
      </c>
      <c r="E30" s="70">
        <f t="shared" si="2"/>
        <v>2.0182624653739611E-2</v>
      </c>
      <c r="F30" s="136">
        <v>1710084</v>
      </c>
      <c r="G30" s="70">
        <f t="shared" si="3"/>
        <v>4.7634280475494874E-2</v>
      </c>
      <c r="H30" s="70"/>
      <c r="I30" s="61">
        <f t="shared" ref="I30:I95" si="11">F30-C30</f>
        <v>-1204287</v>
      </c>
      <c r="J30" s="60">
        <f t="shared" ref="J30:J95" si="12">F30/C30*100-100</f>
        <v>-41.322364242575837</v>
      </c>
      <c r="K30" s="136">
        <v>458680</v>
      </c>
      <c r="L30" s="70">
        <f t="shared" si="6"/>
        <v>1.2304462143502889E-2</v>
      </c>
      <c r="M30" s="70">
        <f t="shared" si="7"/>
        <v>2.7048000943507488E-3</v>
      </c>
      <c r="N30" s="136"/>
      <c r="O30" s="70">
        <f t="shared" si="8"/>
        <v>0</v>
      </c>
      <c r="P30" s="70">
        <f t="shared" si="9"/>
        <v>0</v>
      </c>
      <c r="Q30" s="75"/>
    </row>
    <row r="31" spans="1:20" ht="26.25">
      <c r="A31" s="65"/>
      <c r="B31" s="122" t="s">
        <v>44</v>
      </c>
      <c r="C31" s="136">
        <v>599411</v>
      </c>
      <c r="D31" s="70">
        <f t="shared" si="1"/>
        <v>1.7507131794583117E-2</v>
      </c>
      <c r="E31" s="70">
        <f t="shared" si="2"/>
        <v>4.1510457063711915E-3</v>
      </c>
      <c r="F31" s="136">
        <v>534485</v>
      </c>
      <c r="G31" s="70">
        <f t="shared" si="3"/>
        <v>1.4888045499487091E-2</v>
      </c>
      <c r="H31" s="70"/>
      <c r="I31" s="61">
        <f t="shared" si="11"/>
        <v>-64926</v>
      </c>
      <c r="J31" s="60">
        <f t="shared" si="12"/>
        <v>-10.831633053113805</v>
      </c>
      <c r="K31" s="136"/>
      <c r="L31" s="70">
        <f t="shared" si="6"/>
        <v>0</v>
      </c>
      <c r="M31" s="70">
        <f t="shared" si="7"/>
        <v>0</v>
      </c>
      <c r="N31" s="136"/>
      <c r="O31" s="70">
        <f t="shared" si="8"/>
        <v>0</v>
      </c>
      <c r="P31" s="70">
        <f t="shared" si="9"/>
        <v>0</v>
      </c>
      <c r="Q31" s="75"/>
    </row>
    <row r="32" spans="1:20" ht="30.75" customHeight="1">
      <c r="A32" s="65"/>
      <c r="B32" s="135" t="s">
        <v>88</v>
      </c>
      <c r="C32" s="132">
        <v>3452700</v>
      </c>
      <c r="D32" s="70">
        <f t="shared" si="1"/>
        <v>0.10084378489409959</v>
      </c>
      <c r="E32" s="70">
        <f t="shared" si="2"/>
        <v>2.3910664819944596E-2</v>
      </c>
      <c r="F32" s="132">
        <v>3517870</v>
      </c>
      <c r="G32" s="70">
        <f t="shared" si="3"/>
        <v>9.7990043913824806E-2</v>
      </c>
      <c r="H32" s="70"/>
      <c r="I32" s="61">
        <f t="shared" si="11"/>
        <v>65170</v>
      </c>
      <c r="J32" s="60">
        <f t="shared" si="12"/>
        <v>1.8875083268167003</v>
      </c>
      <c r="K32" s="132">
        <v>3452700</v>
      </c>
      <c r="L32" s="70">
        <f t="shared" si="6"/>
        <v>9.2621471271632574E-2</v>
      </c>
      <c r="M32" s="70">
        <f t="shared" si="7"/>
        <v>2.0360301922396507E-2</v>
      </c>
      <c r="N32" s="132">
        <v>3452700</v>
      </c>
      <c r="O32" s="70">
        <f t="shared" si="8"/>
        <v>9.994409886611634E-2</v>
      </c>
      <c r="P32" s="70">
        <f t="shared" si="9"/>
        <v>1.9193716055079024E-2</v>
      </c>
      <c r="Q32" s="75"/>
    </row>
    <row r="33" spans="1:20">
      <c r="A33" s="65"/>
      <c r="B33" s="115" t="s">
        <v>79</v>
      </c>
      <c r="C33" s="134">
        <v>3452700</v>
      </c>
      <c r="D33" s="70">
        <f t="shared" si="1"/>
        <v>0.10084378489409959</v>
      </c>
      <c r="E33" s="70">
        <f t="shared" si="2"/>
        <v>2.3910664819944596E-2</v>
      </c>
      <c r="F33" s="134">
        <v>3517870</v>
      </c>
      <c r="G33" s="70">
        <f t="shared" si="3"/>
        <v>9.7990043913824806E-2</v>
      </c>
      <c r="H33" s="70"/>
      <c r="I33" s="61">
        <f t="shared" si="11"/>
        <v>65170</v>
      </c>
      <c r="J33" s="60">
        <f t="shared" si="12"/>
        <v>1.8875083268167003</v>
      </c>
      <c r="K33" s="134">
        <v>3452700</v>
      </c>
      <c r="L33" s="70">
        <f t="shared" si="6"/>
        <v>9.2621471271632574E-2</v>
      </c>
      <c r="M33" s="70">
        <f t="shared" si="7"/>
        <v>2.0360301922396507E-2</v>
      </c>
      <c r="N33" s="134">
        <v>3452700</v>
      </c>
      <c r="O33" s="70">
        <f t="shared" si="8"/>
        <v>9.994409886611634E-2</v>
      </c>
      <c r="P33" s="70">
        <f t="shared" si="9"/>
        <v>1.9193716055079024E-2</v>
      </c>
      <c r="Q33" s="75"/>
    </row>
    <row r="34" spans="1:20">
      <c r="A34" s="65"/>
      <c r="B34" s="139" t="s">
        <v>89</v>
      </c>
      <c r="C34" s="132">
        <v>142724672</v>
      </c>
      <c r="D34" s="70">
        <f t="shared" si="1"/>
        <v>4.1685915724647149</v>
      </c>
      <c r="E34" s="70">
        <f t="shared" si="2"/>
        <v>0.9883980055401661</v>
      </c>
      <c r="F34" s="132">
        <v>158406920</v>
      </c>
      <c r="G34" s="70">
        <f t="shared" si="3"/>
        <v>4.4124146279008976</v>
      </c>
      <c r="H34" s="70"/>
      <c r="I34" s="61">
        <f t="shared" si="11"/>
        <v>15682248</v>
      </c>
      <c r="J34" s="60">
        <f t="shared" si="12"/>
        <v>10.987762508222815</v>
      </c>
      <c r="K34" s="132">
        <v>143270192</v>
      </c>
      <c r="L34" s="70">
        <f t="shared" si="6"/>
        <v>3.8433388282820058</v>
      </c>
      <c r="M34" s="70">
        <f t="shared" si="7"/>
        <v>0.84485311947163577</v>
      </c>
      <c r="N34" s="132">
        <v>135182988</v>
      </c>
      <c r="O34" s="70">
        <f t="shared" si="8"/>
        <v>3.91309465568657</v>
      </c>
      <c r="P34" s="70">
        <f t="shared" si="9"/>
        <v>0.75148836769749905</v>
      </c>
      <c r="Q34" s="75"/>
    </row>
    <row r="35" spans="1:20">
      <c r="A35" s="65"/>
      <c r="B35" s="115" t="s">
        <v>79</v>
      </c>
      <c r="C35" s="134">
        <v>133755296</v>
      </c>
      <c r="D35" s="70">
        <f t="shared" si="1"/>
        <v>3.9066209917660437</v>
      </c>
      <c r="E35" s="70">
        <f t="shared" si="2"/>
        <v>0.92628321329639896</v>
      </c>
      <c r="F35" s="134">
        <v>143923352</v>
      </c>
      <c r="G35" s="70">
        <f t="shared" si="3"/>
        <v>4.0089757673549231</v>
      </c>
      <c r="H35" s="70"/>
      <c r="I35" s="61">
        <f t="shared" si="11"/>
        <v>10168056</v>
      </c>
      <c r="J35" s="60">
        <f t="shared" si="12"/>
        <v>7.601983849671285</v>
      </c>
      <c r="K35" s="134">
        <v>138639383</v>
      </c>
      <c r="L35" s="70">
        <f t="shared" si="6"/>
        <v>3.7191136298118472</v>
      </c>
      <c r="M35" s="70">
        <f t="shared" si="7"/>
        <v>0.8175456008963321</v>
      </c>
      <c r="N35" s="134">
        <v>135182988</v>
      </c>
      <c r="O35" s="70">
        <f t="shared" si="8"/>
        <v>3.91309465568657</v>
      </c>
      <c r="P35" s="70">
        <f t="shared" si="9"/>
        <v>0.75148836769749905</v>
      </c>
      <c r="Q35" s="75"/>
    </row>
    <row r="36" spans="1:20" ht="26.25">
      <c r="A36" s="65"/>
      <c r="B36" s="140" t="s">
        <v>43</v>
      </c>
      <c r="C36" s="141">
        <v>77760</v>
      </c>
      <c r="D36" s="70">
        <f t="shared" si="1"/>
        <v>2.2711537965549233E-3</v>
      </c>
      <c r="E36" s="70">
        <f t="shared" si="2"/>
        <v>5.3850415512465377E-4</v>
      </c>
      <c r="F36" s="141">
        <v>77760</v>
      </c>
      <c r="G36" s="70">
        <f t="shared" si="3"/>
        <v>2.1659998279467451E-3</v>
      </c>
      <c r="H36" s="70"/>
      <c r="I36" s="61">
        <f t="shared" si="11"/>
        <v>0</v>
      </c>
      <c r="J36" s="60">
        <f t="shared" si="12"/>
        <v>0</v>
      </c>
      <c r="K36" s="141">
        <v>77760</v>
      </c>
      <c r="L36" s="70">
        <f t="shared" si="6"/>
        <v>2.0859749199415383E-3</v>
      </c>
      <c r="M36" s="70">
        <f t="shared" si="7"/>
        <v>4.5854463969807762E-4</v>
      </c>
      <c r="N36" s="141"/>
      <c r="O36" s="70">
        <f t="shared" si="8"/>
        <v>0</v>
      </c>
      <c r="P36" s="70">
        <f t="shared" si="9"/>
        <v>0</v>
      </c>
      <c r="Q36" s="75"/>
    </row>
    <row r="37" spans="1:20">
      <c r="A37" s="65"/>
      <c r="B37" s="120" t="s">
        <v>80</v>
      </c>
      <c r="C37" s="136">
        <v>8969376</v>
      </c>
      <c r="D37" s="70">
        <f t="shared" si="1"/>
        <v>0.26197058069867046</v>
      </c>
      <c r="E37" s="70">
        <f t="shared" si="2"/>
        <v>6.2114792243767321E-2</v>
      </c>
      <c r="F37" s="136">
        <v>14483568</v>
      </c>
      <c r="G37" s="70">
        <f t="shared" si="3"/>
        <v>0.40343886054597455</v>
      </c>
      <c r="H37" s="70"/>
      <c r="I37" s="61">
        <f t="shared" si="11"/>
        <v>5514192</v>
      </c>
      <c r="J37" s="60">
        <f t="shared" si="12"/>
        <v>61.477989104258768</v>
      </c>
      <c r="K37" s="136">
        <v>4630809</v>
      </c>
      <c r="L37" s="70">
        <f t="shared" si="6"/>
        <v>0.12422519847015887</v>
      </c>
      <c r="M37" s="70">
        <f t="shared" si="7"/>
        <v>2.7307518575303693E-2</v>
      </c>
      <c r="N37" s="136"/>
      <c r="O37" s="70">
        <f t="shared" si="8"/>
        <v>0</v>
      </c>
      <c r="P37" s="70">
        <f t="shared" si="9"/>
        <v>0</v>
      </c>
      <c r="Q37" s="75"/>
    </row>
    <row r="38" spans="1:20">
      <c r="A38" s="65"/>
      <c r="B38" s="139" t="s">
        <v>90</v>
      </c>
      <c r="C38" s="132">
        <v>28760306</v>
      </c>
      <c r="D38" s="70">
        <f t="shared" si="1"/>
        <v>0.84000872121889592</v>
      </c>
      <c r="E38" s="70">
        <f t="shared" si="2"/>
        <v>0.1991710941828255</v>
      </c>
      <c r="F38" s="132">
        <v>34075134</v>
      </c>
      <c r="G38" s="70">
        <f t="shared" si="3"/>
        <v>0.94916067877137711</v>
      </c>
      <c r="H38" s="70"/>
      <c r="I38" s="61">
        <f t="shared" si="11"/>
        <v>5314828</v>
      </c>
      <c r="J38" s="60">
        <f t="shared" si="12"/>
        <v>18.479733838715063</v>
      </c>
      <c r="K38" s="132">
        <v>33513999</v>
      </c>
      <c r="L38" s="70">
        <f t="shared" si="6"/>
        <v>0.89904014121586651</v>
      </c>
      <c r="M38" s="70">
        <f t="shared" si="7"/>
        <v>0.19762943153673779</v>
      </c>
      <c r="N38" s="132">
        <v>33075765</v>
      </c>
      <c r="O38" s="70">
        <f t="shared" si="8"/>
        <v>0.95743259687561355</v>
      </c>
      <c r="P38" s="70">
        <f t="shared" si="9"/>
        <v>0.18386967929867082</v>
      </c>
      <c r="Q38" s="75"/>
    </row>
    <row r="39" spans="1:20">
      <c r="A39" s="65"/>
      <c r="B39" s="115" t="s">
        <v>79</v>
      </c>
      <c r="C39" s="134">
        <v>27440071</v>
      </c>
      <c r="D39" s="70">
        <f t="shared" si="1"/>
        <v>0.80144832085116591</v>
      </c>
      <c r="E39" s="70">
        <f t="shared" si="2"/>
        <v>0.19002819252077563</v>
      </c>
      <c r="F39" s="134">
        <v>33267099</v>
      </c>
      <c r="G39" s="70">
        <f t="shared" si="3"/>
        <v>0.92665291551295437</v>
      </c>
      <c r="H39" s="70"/>
      <c r="I39" s="61">
        <f t="shared" si="11"/>
        <v>5827028</v>
      </c>
      <c r="J39" s="60">
        <f t="shared" si="12"/>
        <v>21.235469835336801</v>
      </c>
      <c r="K39" s="134">
        <v>32863999</v>
      </c>
      <c r="L39" s="70">
        <f t="shared" si="6"/>
        <v>0.88160336526470917</v>
      </c>
      <c r="M39" s="70">
        <f t="shared" si="7"/>
        <v>0.19379643236230687</v>
      </c>
      <c r="N39" s="134">
        <v>32425765</v>
      </c>
      <c r="O39" s="70">
        <f t="shared" si="8"/>
        <v>0.9386172742982174</v>
      </c>
      <c r="P39" s="70">
        <f t="shared" si="9"/>
        <v>0.18025629978820035</v>
      </c>
      <c r="Q39" s="75"/>
    </row>
    <row r="40" spans="1:20">
      <c r="A40" s="65"/>
      <c r="B40" s="142" t="s">
        <v>12</v>
      </c>
      <c r="C40" s="134">
        <v>8520</v>
      </c>
      <c r="D40" s="70">
        <f t="shared" si="1"/>
        <v>2.4884555486944377E-4</v>
      </c>
      <c r="E40" s="70">
        <f t="shared" si="2"/>
        <v>5.9002770083102492E-5</v>
      </c>
      <c r="F40" s="134">
        <v>8520</v>
      </c>
      <c r="G40" s="70">
        <f t="shared" si="3"/>
        <v>2.3732405522256005E-4</v>
      </c>
      <c r="H40" s="70"/>
      <c r="I40" s="61">
        <f t="shared" si="11"/>
        <v>0</v>
      </c>
      <c r="J40" s="60">
        <f t="shared" si="12"/>
        <v>0</v>
      </c>
      <c r="K40" s="134">
        <v>8520</v>
      </c>
      <c r="L40" s="70">
        <f t="shared" si="6"/>
        <v>2.285558940059401E-4</v>
      </c>
      <c r="M40" s="70">
        <f t="shared" si="7"/>
        <v>5.0241773794079493E-5</v>
      </c>
      <c r="N40" s="134">
        <v>8520</v>
      </c>
      <c r="O40" s="70">
        <f t="shared" si="8"/>
        <v>2.4662545901448472E-4</v>
      </c>
      <c r="P40" s="70">
        <f t="shared" si="9"/>
        <v>4.7363066814166674E-5</v>
      </c>
      <c r="Q40" s="75"/>
      <c r="T40" s="51"/>
    </row>
    <row r="41" spans="1:20" ht="26.25">
      <c r="A41" s="65"/>
      <c r="B41" s="140" t="s">
        <v>43</v>
      </c>
      <c r="C41" s="141"/>
      <c r="D41" s="70">
        <f t="shared" si="1"/>
        <v>0</v>
      </c>
      <c r="E41" s="70">
        <f t="shared" si="2"/>
        <v>0</v>
      </c>
      <c r="F41" s="141">
        <v>20000</v>
      </c>
      <c r="G41" s="70">
        <f t="shared" si="3"/>
        <v>5.5709872117971839E-4</v>
      </c>
      <c r="H41" s="70"/>
      <c r="I41" s="61">
        <f t="shared" si="11"/>
        <v>20000</v>
      </c>
      <c r="J41" s="60"/>
      <c r="K41" s="141"/>
      <c r="L41" s="70">
        <f t="shared" si="6"/>
        <v>0</v>
      </c>
      <c r="M41" s="70">
        <f t="shared" si="7"/>
        <v>0</v>
      </c>
      <c r="N41" s="141"/>
      <c r="O41" s="70">
        <f t="shared" si="8"/>
        <v>0</v>
      </c>
      <c r="P41" s="70">
        <f t="shared" si="9"/>
        <v>0</v>
      </c>
      <c r="Q41" s="75"/>
    </row>
    <row r="42" spans="1:20">
      <c r="A42" s="65"/>
      <c r="B42" s="120" t="s">
        <v>80</v>
      </c>
      <c r="C42" s="136">
        <v>1320235</v>
      </c>
      <c r="D42" s="70">
        <f t="shared" si="1"/>
        <v>3.8560400367730063E-2</v>
      </c>
      <c r="E42" s="70">
        <f t="shared" si="2"/>
        <v>9.1429016620498613E-3</v>
      </c>
      <c r="F42" s="136">
        <v>808035</v>
      </c>
      <c r="G42" s="70">
        <f t="shared" si="3"/>
        <v>2.2507763258422686E-2</v>
      </c>
      <c r="H42" s="70"/>
      <c r="I42" s="61">
        <f t="shared" si="11"/>
        <v>-512200</v>
      </c>
      <c r="J42" s="60">
        <f t="shared" si="12"/>
        <v>-38.796123417421903</v>
      </c>
      <c r="K42" s="136">
        <v>650000</v>
      </c>
      <c r="L42" s="70">
        <f t="shared" si="6"/>
        <v>1.7436775951157404E-2</v>
      </c>
      <c r="M42" s="70">
        <f t="shared" si="7"/>
        <v>3.8329991744309468E-3</v>
      </c>
      <c r="N42" s="136">
        <v>650000</v>
      </c>
      <c r="O42" s="70">
        <f t="shared" si="8"/>
        <v>1.8815322577396133E-2</v>
      </c>
      <c r="P42" s="70">
        <f t="shared" si="9"/>
        <v>3.6133795104704618E-3</v>
      </c>
      <c r="Q42" s="75"/>
    </row>
    <row r="43" spans="1:20">
      <c r="A43" s="65"/>
      <c r="B43" s="138" t="s">
        <v>91</v>
      </c>
      <c r="C43" s="132">
        <v>104815242</v>
      </c>
      <c r="D43" s="70">
        <f t="shared" si="1"/>
        <v>3.0613623303127966</v>
      </c>
      <c r="E43" s="70">
        <f t="shared" si="2"/>
        <v>0.72586732686980615</v>
      </c>
      <c r="F43" s="132">
        <v>120456923</v>
      </c>
      <c r="G43" s="70">
        <f t="shared" si="3"/>
        <v>3.3553198880271902</v>
      </c>
      <c r="H43" s="70"/>
      <c r="I43" s="61">
        <f t="shared" si="11"/>
        <v>15641681</v>
      </c>
      <c r="J43" s="60">
        <f t="shared" si="12"/>
        <v>14.923097730385422</v>
      </c>
      <c r="K43" s="132">
        <v>56758575</v>
      </c>
      <c r="L43" s="70">
        <f t="shared" si="6"/>
        <v>1.5225947008953289</v>
      </c>
      <c r="M43" s="70">
        <f t="shared" si="7"/>
        <v>0.33470087864134918</v>
      </c>
      <c r="N43" s="132">
        <v>45364129</v>
      </c>
      <c r="O43" s="70">
        <f t="shared" si="8"/>
        <v>1.3131395701194011</v>
      </c>
      <c r="P43" s="70">
        <f t="shared" si="9"/>
        <v>0.25218125267529057</v>
      </c>
      <c r="Q43" s="75"/>
    </row>
    <row r="44" spans="1:20">
      <c r="A44" s="65"/>
      <c r="B44" s="115" t="s">
        <v>79</v>
      </c>
      <c r="C44" s="134">
        <v>28402576</v>
      </c>
      <c r="D44" s="70">
        <f t="shared" si="1"/>
        <v>0.82956042070910174</v>
      </c>
      <c r="E44" s="70">
        <f t="shared" si="2"/>
        <v>0.19669373961218839</v>
      </c>
      <c r="F44" s="134">
        <v>35815130</v>
      </c>
      <c r="G44" s="70">
        <f t="shared" si="3"/>
        <v>0.99762815609426847</v>
      </c>
      <c r="H44" s="70"/>
      <c r="I44" s="61">
        <f t="shared" si="11"/>
        <v>7412554</v>
      </c>
      <c r="J44" s="60">
        <f t="shared" si="12"/>
        <v>26.098175038771117</v>
      </c>
      <c r="K44" s="134">
        <v>35617940</v>
      </c>
      <c r="L44" s="70">
        <f t="shared" si="6"/>
        <v>0.95548006095656524</v>
      </c>
      <c r="M44" s="70">
        <f t="shared" si="7"/>
        <v>0.21003620709989387</v>
      </c>
      <c r="N44" s="134">
        <v>35135679</v>
      </c>
      <c r="O44" s="70">
        <f t="shared" si="8"/>
        <v>1.0170602067089896</v>
      </c>
      <c r="P44" s="70">
        <f t="shared" si="9"/>
        <v>0.19532083474625736</v>
      </c>
      <c r="Q44" s="75"/>
    </row>
    <row r="45" spans="1:20" ht="26.25">
      <c r="A45" s="65"/>
      <c r="B45" s="140" t="s">
        <v>43</v>
      </c>
      <c r="C45" s="134"/>
      <c r="D45" s="70">
        <f t="shared" si="1"/>
        <v>0</v>
      </c>
      <c r="E45" s="70">
        <f t="shared" si="2"/>
        <v>0</v>
      </c>
      <c r="F45" s="134">
        <v>200000</v>
      </c>
      <c r="G45" s="70">
        <f t="shared" si="3"/>
        <v>5.5709872117971834E-3</v>
      </c>
      <c r="H45" s="70"/>
      <c r="I45" s="61"/>
      <c r="J45" s="60"/>
      <c r="K45" s="134"/>
      <c r="L45" s="70">
        <f t="shared" si="6"/>
        <v>0</v>
      </c>
      <c r="M45" s="70">
        <f t="shared" si="7"/>
        <v>0</v>
      </c>
      <c r="N45" s="134"/>
      <c r="O45" s="70">
        <f t="shared" si="8"/>
        <v>0</v>
      </c>
      <c r="P45" s="70">
        <f t="shared" si="9"/>
        <v>0</v>
      </c>
      <c r="Q45" s="75"/>
    </row>
    <row r="46" spans="1:20">
      <c r="A46" s="65"/>
      <c r="B46" s="120" t="s">
        <v>80</v>
      </c>
      <c r="C46" s="136">
        <v>76412666</v>
      </c>
      <c r="D46" s="70">
        <f t="shared" si="1"/>
        <v>2.2318019096036945</v>
      </c>
      <c r="E46" s="70">
        <f t="shared" si="2"/>
        <v>0.52917358725761765</v>
      </c>
      <c r="F46" s="136">
        <v>84641793</v>
      </c>
      <c r="G46" s="70">
        <f t="shared" si="3"/>
        <v>2.3576917319329223</v>
      </c>
      <c r="H46" s="70"/>
      <c r="I46" s="61">
        <f t="shared" si="11"/>
        <v>8229127</v>
      </c>
      <c r="J46" s="60">
        <f t="shared" si="12"/>
        <v>10.769323242824697</v>
      </c>
      <c r="K46" s="136">
        <v>21140635</v>
      </c>
      <c r="L46" s="70">
        <f t="shared" si="6"/>
        <v>0.56711463993876388</v>
      </c>
      <c r="M46" s="70">
        <f t="shared" si="7"/>
        <v>0.12466467154145537</v>
      </c>
      <c r="N46" s="136">
        <v>10228450</v>
      </c>
      <c r="O46" s="70">
        <f t="shared" si="8"/>
        <v>0.29607936341041147</v>
      </c>
      <c r="P46" s="70">
        <f t="shared" si="9"/>
        <v>5.6860417929033229E-2</v>
      </c>
      <c r="Q46" s="75"/>
    </row>
    <row r="47" spans="1:20" ht="26.25">
      <c r="A47" s="65"/>
      <c r="B47" s="122" t="s">
        <v>44</v>
      </c>
      <c r="C47" s="136">
        <v>3306036</v>
      </c>
      <c r="D47" s="70">
        <f t="shared" si="1"/>
        <v>9.6560136483375164E-2</v>
      </c>
      <c r="E47" s="70">
        <f t="shared" si="2"/>
        <v>2.289498614958449E-2</v>
      </c>
      <c r="F47" s="136">
        <v>4308937</v>
      </c>
      <c r="G47" s="70">
        <f t="shared" si="3"/>
        <v>0.12002516461719862</v>
      </c>
      <c r="H47" s="70"/>
      <c r="I47" s="61">
        <f t="shared" si="11"/>
        <v>1002901</v>
      </c>
      <c r="J47" s="60">
        <f t="shared" si="12"/>
        <v>30.335453092464803</v>
      </c>
      <c r="K47" s="136">
        <v>3388540</v>
      </c>
      <c r="L47" s="70">
        <f t="shared" si="6"/>
        <v>9.0900327356207553E-2</v>
      </c>
      <c r="M47" s="70">
        <f t="shared" si="7"/>
        <v>1.9981955419271138E-2</v>
      </c>
      <c r="N47" s="136">
        <v>2436428</v>
      </c>
      <c r="O47" s="70">
        <f t="shared" si="8"/>
        <v>7.052642885630786E-2</v>
      </c>
      <c r="P47" s="70">
        <f t="shared" si="9"/>
        <v>1.3544213867594657E-2</v>
      </c>
      <c r="Q47" s="75"/>
    </row>
    <row r="48" spans="1:20" ht="39" customHeight="1">
      <c r="A48" s="65"/>
      <c r="B48" s="140" t="s">
        <v>43</v>
      </c>
      <c r="C48" s="143"/>
      <c r="D48" s="70">
        <f t="shared" si="1"/>
        <v>0</v>
      </c>
      <c r="E48" s="70">
        <f t="shared" si="2"/>
        <v>0</v>
      </c>
      <c r="F48" s="143"/>
      <c r="G48" s="70">
        <f t="shared" si="3"/>
        <v>0</v>
      </c>
      <c r="H48" s="70"/>
      <c r="I48" s="61">
        <f t="shared" si="11"/>
        <v>0</v>
      </c>
      <c r="J48" s="60"/>
      <c r="K48" s="143"/>
      <c r="L48" s="70">
        <f t="shared" si="6"/>
        <v>0</v>
      </c>
      <c r="M48" s="70">
        <f t="shared" si="7"/>
        <v>0</v>
      </c>
      <c r="N48" s="143"/>
      <c r="O48" s="70">
        <f t="shared" si="8"/>
        <v>0</v>
      </c>
      <c r="P48" s="70">
        <f t="shared" si="9"/>
        <v>0</v>
      </c>
      <c r="Q48" s="75"/>
    </row>
    <row r="49" spans="1:17">
      <c r="A49" s="65"/>
      <c r="B49" s="135" t="s">
        <v>92</v>
      </c>
      <c r="C49" s="132">
        <v>532272113</v>
      </c>
      <c r="D49" s="70">
        <f t="shared" si="1"/>
        <v>15.546191232513648</v>
      </c>
      <c r="E49" s="70">
        <f t="shared" si="2"/>
        <v>3.6860949653739614</v>
      </c>
      <c r="F49" s="132">
        <v>579599574</v>
      </c>
      <c r="G49" s="70">
        <f t="shared" si="3"/>
        <v>16.144709073585478</v>
      </c>
      <c r="H49" s="70"/>
      <c r="I49" s="61">
        <f t="shared" si="11"/>
        <v>47327461</v>
      </c>
      <c r="J49" s="60">
        <f t="shared" si="12"/>
        <v>8.8915913203215382</v>
      </c>
      <c r="K49" s="132">
        <v>639428259</v>
      </c>
      <c r="L49" s="70">
        <f t="shared" si="6"/>
        <v>17.15318044464869</v>
      </c>
      <c r="M49" s="70">
        <f t="shared" si="7"/>
        <v>3.7706584443920268</v>
      </c>
      <c r="N49" s="132">
        <v>639102533</v>
      </c>
      <c r="O49" s="70">
        <f t="shared" si="8"/>
        <v>18.499877412963013</v>
      </c>
      <c r="P49" s="70">
        <f t="shared" si="9"/>
        <v>3.5527999966645725</v>
      </c>
      <c r="Q49" s="75"/>
    </row>
    <row r="50" spans="1:17">
      <c r="A50" s="65"/>
      <c r="B50" s="115" t="s">
        <v>79</v>
      </c>
      <c r="C50" s="134">
        <v>443920193</v>
      </c>
      <c r="D50" s="70">
        <f t="shared" si="1"/>
        <v>12.965676847985396</v>
      </c>
      <c r="E50" s="70">
        <f t="shared" si="2"/>
        <v>3.0742395637119113</v>
      </c>
      <c r="F50" s="134">
        <v>490172006</v>
      </c>
      <c r="G50" s="70">
        <f t="shared" si="3"/>
        <v>13.653709885034862</v>
      </c>
      <c r="H50" s="70"/>
      <c r="I50" s="61">
        <f t="shared" si="11"/>
        <v>46251813</v>
      </c>
      <c r="J50" s="60">
        <f t="shared" si="12"/>
        <v>10.418947758927459</v>
      </c>
      <c r="K50" s="134">
        <v>592832019</v>
      </c>
      <c r="L50" s="70">
        <f t="shared" si="6"/>
        <v>15.903198603038907</v>
      </c>
      <c r="M50" s="70">
        <f t="shared" si="7"/>
        <v>3.4958840606203565</v>
      </c>
      <c r="N50" s="134">
        <v>627412941</v>
      </c>
      <c r="O50" s="70">
        <f t="shared" si="8"/>
        <v>18.161502883304319</v>
      </c>
      <c r="P50" s="70">
        <f t="shared" si="9"/>
        <v>3.4878170240206354</v>
      </c>
      <c r="Q50" s="75"/>
    </row>
    <row r="51" spans="1:17">
      <c r="A51" s="65"/>
      <c r="B51" s="144" t="s">
        <v>93</v>
      </c>
      <c r="C51" s="134">
        <v>233388300</v>
      </c>
      <c r="D51" s="70">
        <f t="shared" si="1"/>
        <v>6.8166245321051884</v>
      </c>
      <c r="E51" s="70">
        <f t="shared" si="2"/>
        <v>1.6162624653739612</v>
      </c>
      <c r="F51" s="134"/>
      <c r="G51" s="70">
        <f t="shared" si="3"/>
        <v>0</v>
      </c>
      <c r="H51" s="70"/>
      <c r="I51" s="61">
        <f t="shared" si="11"/>
        <v>-233388300</v>
      </c>
      <c r="J51" s="60">
        <f t="shared" si="12"/>
        <v>-100</v>
      </c>
      <c r="K51" s="134"/>
      <c r="L51" s="70">
        <f t="shared" si="6"/>
        <v>0</v>
      </c>
      <c r="M51" s="70">
        <f t="shared" si="7"/>
        <v>0</v>
      </c>
      <c r="N51" s="134"/>
      <c r="O51" s="70">
        <f t="shared" si="8"/>
        <v>0</v>
      </c>
      <c r="P51" s="70">
        <f t="shared" si="9"/>
        <v>0</v>
      </c>
      <c r="Q51" s="75"/>
    </row>
    <row r="52" spans="1:17">
      <c r="A52" s="65"/>
      <c r="B52" s="144" t="s">
        <v>94</v>
      </c>
      <c r="C52" s="134">
        <v>138883717</v>
      </c>
      <c r="D52" s="70">
        <f t="shared" si="1"/>
        <v>4.0564079365253285</v>
      </c>
      <c r="E52" s="70">
        <f t="shared" si="2"/>
        <v>0.96179859418282532</v>
      </c>
      <c r="F52" s="134"/>
      <c r="G52" s="70">
        <f t="shared" si="3"/>
        <v>0</v>
      </c>
      <c r="H52" s="70"/>
      <c r="I52" s="61">
        <f t="shared" si="11"/>
        <v>-138883717</v>
      </c>
      <c r="J52" s="60">
        <f t="shared" si="12"/>
        <v>-100</v>
      </c>
      <c r="K52" s="134"/>
      <c r="L52" s="70">
        <f t="shared" si="6"/>
        <v>0</v>
      </c>
      <c r="M52" s="70">
        <f t="shared" si="7"/>
        <v>0</v>
      </c>
      <c r="N52" s="134"/>
      <c r="O52" s="70">
        <f t="shared" si="8"/>
        <v>0</v>
      </c>
      <c r="P52" s="70">
        <f t="shared" si="9"/>
        <v>0</v>
      </c>
      <c r="Q52" s="75"/>
    </row>
    <row r="53" spans="1:17">
      <c r="A53" s="65"/>
      <c r="B53" s="120" t="s">
        <v>80</v>
      </c>
      <c r="C53" s="136">
        <v>88351920</v>
      </c>
      <c r="D53" s="70">
        <f t="shared" si="1"/>
        <v>2.5805143845282519</v>
      </c>
      <c r="E53" s="70">
        <f t="shared" si="2"/>
        <v>0.61185540166204988</v>
      </c>
      <c r="F53" s="136">
        <v>89427568</v>
      </c>
      <c r="G53" s="70">
        <f t="shared" si="3"/>
        <v>2.4909991885506155</v>
      </c>
      <c r="H53" s="70"/>
      <c r="I53" s="61">
        <f t="shared" si="11"/>
        <v>1075648</v>
      </c>
      <c r="J53" s="60">
        <f t="shared" si="12"/>
        <v>1.2174585453264655</v>
      </c>
      <c r="K53" s="136">
        <v>46596240</v>
      </c>
      <c r="L53" s="70">
        <f t="shared" si="6"/>
        <v>1.2499818416097825</v>
      </c>
      <c r="M53" s="70">
        <f t="shared" si="7"/>
        <v>0.27477438377167118</v>
      </c>
      <c r="N53" s="136">
        <v>11689592</v>
      </c>
      <c r="O53" s="70">
        <f t="shared" si="8"/>
        <v>0.33837452965869108</v>
      </c>
      <c r="P53" s="70">
        <f t="shared" si="9"/>
        <v>6.498297264393757E-2</v>
      </c>
      <c r="Q53" s="75"/>
    </row>
    <row r="54" spans="1:17" ht="26.25">
      <c r="A54" s="65"/>
      <c r="B54" s="122" t="s">
        <v>44</v>
      </c>
      <c r="C54" s="136">
        <v>34322345</v>
      </c>
      <c r="D54" s="70">
        <f t="shared" si="1"/>
        <v>1.002460444359798</v>
      </c>
      <c r="E54" s="70">
        <f t="shared" si="2"/>
        <v>0.2376893698060942</v>
      </c>
      <c r="F54" s="136">
        <v>38346417</v>
      </c>
      <c r="G54" s="70">
        <f t="shared" si="3"/>
        <v>1.0681369936262108</v>
      </c>
      <c r="H54" s="70"/>
      <c r="I54" s="61">
        <f t="shared" si="11"/>
        <v>4024072</v>
      </c>
      <c r="J54" s="60">
        <f t="shared" si="12"/>
        <v>11.724350419529912</v>
      </c>
      <c r="K54" s="136">
        <v>22523565</v>
      </c>
      <c r="L54" s="70">
        <f t="shared" si="6"/>
        <v>0.60421285619435483</v>
      </c>
      <c r="M54" s="70">
        <f t="shared" si="7"/>
        <v>0.13281970161575657</v>
      </c>
      <c r="N54" s="136">
        <v>9012099</v>
      </c>
      <c r="O54" s="70">
        <f t="shared" si="8"/>
        <v>0.26087007659142941</v>
      </c>
      <c r="P54" s="70">
        <f t="shared" si="9"/>
        <v>5.0098667496817448E-2</v>
      </c>
      <c r="Q54" s="75"/>
    </row>
    <row r="55" spans="1:17" ht="33" customHeight="1">
      <c r="A55" s="65"/>
      <c r="B55" s="140" t="s">
        <v>43</v>
      </c>
      <c r="C55" s="143"/>
      <c r="D55" s="70">
        <f t="shared" si="1"/>
        <v>0</v>
      </c>
      <c r="E55" s="70">
        <f t="shared" si="2"/>
        <v>0</v>
      </c>
      <c r="F55" s="143">
        <v>18573</v>
      </c>
      <c r="G55" s="70">
        <f t="shared" si="3"/>
        <v>5.1734972742354551E-4</v>
      </c>
      <c r="H55" s="70"/>
      <c r="I55" s="61">
        <f t="shared" si="11"/>
        <v>18573</v>
      </c>
      <c r="J55" s="60"/>
      <c r="K55" s="143"/>
      <c r="L55" s="70">
        <f t="shared" si="6"/>
        <v>0</v>
      </c>
      <c r="M55" s="70">
        <f t="shared" si="7"/>
        <v>0</v>
      </c>
      <c r="N55" s="143"/>
      <c r="O55" s="70">
        <f t="shared" si="8"/>
        <v>0</v>
      </c>
      <c r="P55" s="70">
        <f t="shared" si="9"/>
        <v>0</v>
      </c>
      <c r="Q55" s="75"/>
    </row>
    <row r="56" spans="1:17">
      <c r="A56" s="65"/>
      <c r="B56" s="139" t="s">
        <v>95</v>
      </c>
      <c r="C56" s="132">
        <v>162078130</v>
      </c>
      <c r="D56" s="70">
        <f t="shared" si="1"/>
        <v>4.7338523699591368</v>
      </c>
      <c r="E56" s="70">
        <f t="shared" si="2"/>
        <v>1.1224247229916895</v>
      </c>
      <c r="F56" s="132">
        <v>184318111</v>
      </c>
      <c r="G56" s="70">
        <f t="shared" si="3"/>
        <v>5.1341691964180693</v>
      </c>
      <c r="H56" s="70"/>
      <c r="I56" s="61">
        <f t="shared" si="11"/>
        <v>22239981</v>
      </c>
      <c r="J56" s="60">
        <f t="shared" si="12"/>
        <v>13.721765546036352</v>
      </c>
      <c r="K56" s="132">
        <v>169607800</v>
      </c>
      <c r="L56" s="70">
        <f t="shared" si="6"/>
        <v>4.5498664741057144</v>
      </c>
      <c r="M56" s="70">
        <f t="shared" si="7"/>
        <v>1.0001639344262296</v>
      </c>
      <c r="N56" s="132">
        <v>161807185</v>
      </c>
      <c r="O56" s="70">
        <f t="shared" si="8"/>
        <v>4.6837759709467894</v>
      </c>
      <c r="P56" s="70">
        <f t="shared" si="9"/>
        <v>0.89949348757831293</v>
      </c>
      <c r="Q56" s="75"/>
    </row>
    <row r="57" spans="1:17">
      <c r="A57" s="65"/>
      <c r="B57" s="115" t="s">
        <v>79</v>
      </c>
      <c r="C57" s="134">
        <v>151543734</v>
      </c>
      <c r="D57" s="70">
        <f t="shared" si="1"/>
        <v>4.4261718983823233</v>
      </c>
      <c r="E57" s="70">
        <f t="shared" si="2"/>
        <v>1.0494718421052631</v>
      </c>
      <c r="F57" s="134">
        <v>174103423</v>
      </c>
      <c r="G57" s="70">
        <f t="shared" si="3"/>
        <v>4.8496397153155781</v>
      </c>
      <c r="H57" s="70"/>
      <c r="I57" s="61">
        <f t="shared" si="11"/>
        <v>22559689</v>
      </c>
      <c r="J57" s="60">
        <f t="shared" si="12"/>
        <v>14.886586468827545</v>
      </c>
      <c r="K57" s="134">
        <v>164421262</v>
      </c>
      <c r="L57" s="70">
        <f t="shared" si="6"/>
        <v>4.4107333955393093</v>
      </c>
      <c r="M57" s="70">
        <f t="shared" si="7"/>
        <v>0.96957932539214531</v>
      </c>
      <c r="N57" s="134">
        <v>156590284</v>
      </c>
      <c r="O57" s="70">
        <f t="shared" si="8"/>
        <v>4.5327641629939572</v>
      </c>
      <c r="P57" s="70">
        <f t="shared" si="9"/>
        <v>0.87049249806823181</v>
      </c>
      <c r="Q57" s="75"/>
    </row>
    <row r="58" spans="1:17">
      <c r="A58" s="65"/>
      <c r="B58" s="120" t="s">
        <v>80</v>
      </c>
      <c r="C58" s="136">
        <v>10534396</v>
      </c>
      <c r="D58" s="70">
        <f t="shared" si="1"/>
        <v>0.30768047157681327</v>
      </c>
      <c r="E58" s="70">
        <f t="shared" si="2"/>
        <v>7.2952880886426597E-2</v>
      </c>
      <c r="F58" s="136">
        <v>10214688</v>
      </c>
      <c r="G58" s="70">
        <f t="shared" si="3"/>
        <v>0.28452948110249077</v>
      </c>
      <c r="H58" s="70"/>
      <c r="I58" s="61">
        <f t="shared" si="11"/>
        <v>-319708</v>
      </c>
      <c r="J58" s="60">
        <f t="shared" si="12"/>
        <v>-3.0348963528616224</v>
      </c>
      <c r="K58" s="136">
        <v>5186538</v>
      </c>
      <c r="L58" s="70">
        <f t="shared" si="6"/>
        <v>0.13913307856640619</v>
      </c>
      <c r="M58" s="70">
        <f t="shared" si="7"/>
        <v>3.058460903408421E-2</v>
      </c>
      <c r="N58" s="136">
        <v>5216901</v>
      </c>
      <c r="O58" s="70">
        <f t="shared" si="8"/>
        <v>0.15101180795283148</v>
      </c>
      <c r="P58" s="70">
        <f t="shared" si="9"/>
        <v>2.9000989510081329E-2</v>
      </c>
      <c r="Q58" s="75"/>
    </row>
    <row r="59" spans="1:17" ht="26.25">
      <c r="A59" s="65"/>
      <c r="B59" s="122" t="s">
        <v>44</v>
      </c>
      <c r="C59" s="136">
        <v>3190396</v>
      </c>
      <c r="D59" s="70">
        <f t="shared" si="1"/>
        <v>9.3182613013292726E-2</v>
      </c>
      <c r="E59" s="70">
        <f t="shared" si="2"/>
        <v>2.2094155124653736E-2</v>
      </c>
      <c r="F59" s="136">
        <v>3122453</v>
      </c>
      <c r="G59" s="70">
        <f t="shared" si="3"/>
        <v>8.6975728662188764E-2</v>
      </c>
      <c r="H59" s="70"/>
      <c r="I59" s="61">
        <f t="shared" si="11"/>
        <v>-67943</v>
      </c>
      <c r="J59" s="60">
        <f t="shared" si="12"/>
        <v>-2.1296102427410375</v>
      </c>
      <c r="K59" s="136">
        <v>2822450</v>
      </c>
      <c r="L59" s="70">
        <f t="shared" si="6"/>
        <v>7.5714505051298786E-2</v>
      </c>
      <c r="M59" s="70">
        <f t="shared" si="7"/>
        <v>1.6643766953650194E-2</v>
      </c>
      <c r="N59" s="136">
        <v>3387865</v>
      </c>
      <c r="O59" s="70">
        <f t="shared" si="8"/>
        <v>9.8067342805646385E-2</v>
      </c>
      <c r="P59" s="70">
        <f t="shared" si="9"/>
        <v>1.8833295346523095E-2</v>
      </c>
      <c r="Q59" s="75"/>
    </row>
    <row r="60" spans="1:17">
      <c r="A60" s="65"/>
      <c r="B60" s="145" t="s">
        <v>96</v>
      </c>
      <c r="C60" s="132">
        <v>260550834</v>
      </c>
      <c r="D60" s="70">
        <f t="shared" si="1"/>
        <v>7.6099667674209313</v>
      </c>
      <c r="E60" s="70">
        <f t="shared" si="2"/>
        <v>1.8043686565096952</v>
      </c>
      <c r="F60" s="132">
        <v>242261925</v>
      </c>
      <c r="G60" s="70">
        <f t="shared" si="3"/>
        <v>6.7481904304018432</v>
      </c>
      <c r="H60" s="70"/>
      <c r="I60" s="61">
        <f t="shared" si="11"/>
        <v>-18288909</v>
      </c>
      <c r="J60" s="60">
        <f t="shared" si="12"/>
        <v>-7.0193246819543873</v>
      </c>
      <c r="K60" s="132">
        <v>173511705</v>
      </c>
      <c r="L60" s="70">
        <f t="shared" si="6"/>
        <v>4.6545918845974121</v>
      </c>
      <c r="M60" s="70">
        <f t="shared" si="7"/>
        <v>1.0231849569524709</v>
      </c>
      <c r="N60" s="132">
        <v>151655459</v>
      </c>
      <c r="O60" s="70">
        <f t="shared" si="8"/>
        <v>4.3899175103201138</v>
      </c>
      <c r="P60" s="70">
        <f t="shared" si="9"/>
        <v>0.84305958184860508</v>
      </c>
      <c r="Q60" s="75"/>
    </row>
    <row r="61" spans="1:17">
      <c r="A61" s="65"/>
      <c r="B61" s="115" t="s">
        <v>79</v>
      </c>
      <c r="C61" s="134">
        <v>123010196</v>
      </c>
      <c r="D61" s="70">
        <f t="shared" si="1"/>
        <v>3.5927864411055199</v>
      </c>
      <c r="E61" s="70">
        <f t="shared" si="2"/>
        <v>0.85187116343490299</v>
      </c>
      <c r="F61" s="134">
        <v>130564765</v>
      </c>
      <c r="G61" s="70">
        <f t="shared" si="3"/>
        <v>3.6368731806315231</v>
      </c>
      <c r="H61" s="70"/>
      <c r="I61" s="61">
        <f t="shared" si="11"/>
        <v>7554569</v>
      </c>
      <c r="J61" s="60">
        <f t="shared" si="12"/>
        <v>6.1414169277480113</v>
      </c>
      <c r="K61" s="134">
        <v>137144015</v>
      </c>
      <c r="L61" s="70">
        <f t="shared" si="6"/>
        <v>3.678999173226416</v>
      </c>
      <c r="M61" s="70">
        <f t="shared" si="7"/>
        <v>0.80872753272791598</v>
      </c>
      <c r="N61" s="134">
        <v>136485464</v>
      </c>
      <c r="O61" s="70">
        <f t="shared" si="8"/>
        <v>3.9507969727470575</v>
      </c>
      <c r="P61" s="70">
        <f t="shared" si="9"/>
        <v>0.75872889091485207</v>
      </c>
      <c r="Q61" s="75"/>
    </row>
    <row r="62" spans="1:17" ht="26.25">
      <c r="A62" s="65"/>
      <c r="B62" s="140" t="s">
        <v>43</v>
      </c>
      <c r="C62" s="141">
        <v>33922</v>
      </c>
      <c r="D62" s="70">
        <f t="shared" si="1"/>
        <v>9.9076747796728536E-4</v>
      </c>
      <c r="E62" s="70">
        <f t="shared" si="2"/>
        <v>2.3491689750692522E-4</v>
      </c>
      <c r="F62" s="141"/>
      <c r="G62" s="70">
        <f t="shared" si="3"/>
        <v>0</v>
      </c>
      <c r="H62" s="70"/>
      <c r="I62" s="61">
        <f t="shared" si="11"/>
        <v>-33922</v>
      </c>
      <c r="J62" s="60">
        <f t="shared" si="12"/>
        <v>-100</v>
      </c>
      <c r="K62" s="141"/>
      <c r="L62" s="70">
        <f t="shared" si="6"/>
        <v>0</v>
      </c>
      <c r="M62" s="70">
        <f t="shared" si="7"/>
        <v>0</v>
      </c>
      <c r="N62" s="141"/>
      <c r="O62" s="70">
        <f t="shared" si="8"/>
        <v>0</v>
      </c>
      <c r="P62" s="70">
        <f t="shared" si="9"/>
        <v>0</v>
      </c>
      <c r="Q62" s="75"/>
    </row>
    <row r="63" spans="1:17">
      <c r="A63" s="65"/>
      <c r="B63" s="120" t="s">
        <v>80</v>
      </c>
      <c r="C63" s="136">
        <v>137540638</v>
      </c>
      <c r="D63" s="70">
        <f t="shared" si="1"/>
        <v>4.0171803263154109</v>
      </c>
      <c r="E63" s="70">
        <f t="shared" si="2"/>
        <v>0.95249749307479237</v>
      </c>
      <c r="F63" s="136">
        <v>111697160</v>
      </c>
      <c r="G63" s="70">
        <f t="shared" si="3"/>
        <v>3.1113172497703196</v>
      </c>
      <c r="H63" s="70"/>
      <c r="I63" s="61">
        <f t="shared" si="11"/>
        <v>-25843478</v>
      </c>
      <c r="J63" s="60">
        <f t="shared" si="12"/>
        <v>-18.789703447500372</v>
      </c>
      <c r="K63" s="136">
        <v>36367690</v>
      </c>
      <c r="L63" s="70">
        <f t="shared" si="6"/>
        <v>0.97559271137099624</v>
      </c>
      <c r="M63" s="70">
        <f t="shared" si="7"/>
        <v>0.21445742422455477</v>
      </c>
      <c r="N63" s="136">
        <v>15169995</v>
      </c>
      <c r="O63" s="70">
        <f t="shared" si="8"/>
        <v>0.43912053757305608</v>
      </c>
      <c r="P63" s="70">
        <f t="shared" si="9"/>
        <v>8.4330690933752853E-2</v>
      </c>
      <c r="Q63" s="75"/>
    </row>
    <row r="64" spans="1:17" ht="26.25">
      <c r="A64" s="65"/>
      <c r="B64" s="122" t="s">
        <v>44</v>
      </c>
      <c r="C64" s="136">
        <v>20283929</v>
      </c>
      <c r="D64" s="70">
        <f t="shared" si="1"/>
        <v>0.5924372731147185</v>
      </c>
      <c r="E64" s="70">
        <f t="shared" si="2"/>
        <v>0.14047042243767313</v>
      </c>
      <c r="F64" s="136">
        <v>15749626</v>
      </c>
      <c r="G64" s="70">
        <f t="shared" si="3"/>
        <v>0.43870482518294218</v>
      </c>
      <c r="H64" s="70"/>
      <c r="I64" s="61">
        <f t="shared" si="11"/>
        <v>-4534303</v>
      </c>
      <c r="J64" s="60">
        <f t="shared" si="12"/>
        <v>-22.354165211286244</v>
      </c>
      <c r="K64" s="136">
        <v>3475472</v>
      </c>
      <c r="L64" s="70">
        <f t="shared" si="6"/>
        <v>9.3232348597724501E-2</v>
      </c>
      <c r="M64" s="70">
        <f t="shared" si="7"/>
        <v>2.0494586625781346E-2</v>
      </c>
      <c r="N64" s="136">
        <v>1805280</v>
      </c>
      <c r="O64" s="70">
        <f t="shared" si="8"/>
        <v>5.2256808526956446E-2</v>
      </c>
      <c r="P64" s="70">
        <f t="shared" si="9"/>
        <v>1.003563348101864E-2</v>
      </c>
      <c r="Q64" s="75"/>
    </row>
    <row r="65" spans="1:22" ht="26.25">
      <c r="A65" s="65"/>
      <c r="B65" s="140" t="s">
        <v>43</v>
      </c>
      <c r="C65" s="141">
        <v>397587</v>
      </c>
      <c r="D65" s="70">
        <f t="shared" si="1"/>
        <v>1.1612412866652294E-2</v>
      </c>
      <c r="E65" s="70">
        <f t="shared" si="2"/>
        <v>2.7533725761772852E-3</v>
      </c>
      <c r="F65" s="141">
        <v>393820</v>
      </c>
      <c r="G65" s="70">
        <f t="shared" si="3"/>
        <v>1.0969830918749835E-2</v>
      </c>
      <c r="H65" s="70"/>
      <c r="I65" s="61">
        <f t="shared" si="11"/>
        <v>-3767</v>
      </c>
      <c r="J65" s="60">
        <f t="shared" si="12"/>
        <v>-0.94746558614843934</v>
      </c>
      <c r="K65" s="141"/>
      <c r="L65" s="70">
        <f t="shared" si="6"/>
        <v>0</v>
      </c>
      <c r="M65" s="70">
        <f t="shared" si="7"/>
        <v>0</v>
      </c>
      <c r="N65" s="141"/>
      <c r="O65" s="70">
        <f t="shared" si="8"/>
        <v>0</v>
      </c>
      <c r="P65" s="70">
        <f t="shared" si="9"/>
        <v>0</v>
      </c>
      <c r="Q65" s="75"/>
    </row>
    <row r="66" spans="1:22">
      <c r="A66" s="65"/>
      <c r="B66" s="137" t="s">
        <v>97</v>
      </c>
      <c r="C66" s="132">
        <v>323117223</v>
      </c>
      <c r="D66" s="70">
        <f t="shared" si="1"/>
        <v>9.4373573527357735</v>
      </c>
      <c r="E66" s="70">
        <f t="shared" si="2"/>
        <v>2.2376538988919665</v>
      </c>
      <c r="F66" s="132">
        <v>393117307</v>
      </c>
      <c r="G66" s="70">
        <f t="shared" si="3"/>
        <v>10.950257450165738</v>
      </c>
      <c r="H66" s="70"/>
      <c r="I66" s="61">
        <f t="shared" si="11"/>
        <v>70000084</v>
      </c>
      <c r="J66" s="60">
        <f t="shared" si="12"/>
        <v>21.66399034693363</v>
      </c>
      <c r="K66" s="132">
        <v>170240111</v>
      </c>
      <c r="L66" s="70">
        <f t="shared" si="6"/>
        <v>4.5668287283187183</v>
      </c>
      <c r="M66" s="70">
        <f t="shared" si="7"/>
        <v>1.0038926229508198</v>
      </c>
      <c r="N66" s="132">
        <v>54313915</v>
      </c>
      <c r="O66" s="70">
        <f t="shared" si="8"/>
        <v>1.5722058941019608</v>
      </c>
      <c r="P66" s="70">
        <f t="shared" si="9"/>
        <v>0.30193351937605278</v>
      </c>
      <c r="Q66" s="75"/>
    </row>
    <row r="67" spans="1:22">
      <c r="A67" s="65"/>
      <c r="B67" s="115" t="s">
        <v>79</v>
      </c>
      <c r="C67" s="134">
        <v>48316926</v>
      </c>
      <c r="D67" s="70">
        <f t="shared" si="1"/>
        <v>1.4112033169079641</v>
      </c>
      <c r="E67" s="70">
        <f t="shared" si="2"/>
        <v>0.33460475069252082</v>
      </c>
      <c r="F67" s="134">
        <v>50206525</v>
      </c>
      <c r="G67" s="70">
        <f t="shared" si="3"/>
        <v>1.3984995436188781</v>
      </c>
      <c r="H67" s="70"/>
      <c r="I67" s="61">
        <f t="shared" si="11"/>
        <v>1889599</v>
      </c>
      <c r="J67" s="60">
        <f t="shared" si="12"/>
        <v>3.9108427551868772</v>
      </c>
      <c r="K67" s="134">
        <v>47894910</v>
      </c>
      <c r="L67" s="70">
        <f t="shared" si="6"/>
        <v>1.2848197151859204</v>
      </c>
      <c r="M67" s="70">
        <f t="shared" si="7"/>
        <v>0.28243253921452999</v>
      </c>
      <c r="N67" s="134">
        <v>47807888</v>
      </c>
      <c r="O67" s="70">
        <f t="shared" si="8"/>
        <v>1.3838782068677318</v>
      </c>
      <c r="P67" s="70">
        <f t="shared" si="9"/>
        <v>0.26576621990471794</v>
      </c>
      <c r="Q67" s="75"/>
    </row>
    <row r="68" spans="1:22" ht="26.25">
      <c r="A68" s="65"/>
      <c r="B68" s="140" t="s">
        <v>43</v>
      </c>
      <c r="C68" s="141"/>
      <c r="D68" s="70">
        <f t="shared" si="1"/>
        <v>0</v>
      </c>
      <c r="E68" s="70">
        <f t="shared" si="2"/>
        <v>0</v>
      </c>
      <c r="F68" s="141"/>
      <c r="G68" s="70">
        <f t="shared" si="3"/>
        <v>0</v>
      </c>
      <c r="H68" s="70"/>
      <c r="I68" s="61">
        <f t="shared" si="11"/>
        <v>0</v>
      </c>
      <c r="J68" s="60"/>
      <c r="K68" s="141"/>
      <c r="L68" s="70">
        <f t="shared" si="6"/>
        <v>0</v>
      </c>
      <c r="M68" s="70">
        <f t="shared" si="7"/>
        <v>0</v>
      </c>
      <c r="N68" s="141"/>
      <c r="O68" s="70">
        <f t="shared" si="8"/>
        <v>0</v>
      </c>
      <c r="P68" s="70">
        <f t="shared" si="9"/>
        <v>0</v>
      </c>
      <c r="Q68" s="75"/>
    </row>
    <row r="69" spans="1:22">
      <c r="A69" s="65"/>
      <c r="B69" s="120" t="s">
        <v>80</v>
      </c>
      <c r="C69" s="136">
        <v>274800297</v>
      </c>
      <c r="D69" s="70">
        <f t="shared" ref="D69:D127" si="13">C69/$C$4*100</f>
        <v>8.0261540358278101</v>
      </c>
      <c r="E69" s="70">
        <f t="shared" ref="E69:E127" si="14">C69/$C$135/1000000*100</f>
        <v>1.9030491481994463</v>
      </c>
      <c r="F69" s="136">
        <v>342910782</v>
      </c>
      <c r="G69" s="70">
        <f t="shared" ref="G69:G127" si="15">F69/$F$4*100</f>
        <v>9.5517579065468592</v>
      </c>
      <c r="H69" s="70"/>
      <c r="I69" s="61">
        <f t="shared" si="11"/>
        <v>68110485</v>
      </c>
      <c r="J69" s="60">
        <f t="shared" si="12"/>
        <v>24.785448103063729</v>
      </c>
      <c r="K69" s="136">
        <v>122345201</v>
      </c>
      <c r="L69" s="70">
        <f t="shared" ref="L69:L127" si="16">K69/$K$4*100</f>
        <v>3.2820090131327979</v>
      </c>
      <c r="M69" s="70">
        <f t="shared" ref="M69:M127" si="17">K69/$K$135/1000000*100</f>
        <v>0.72146008373628967</v>
      </c>
      <c r="N69" s="136">
        <v>6506027</v>
      </c>
      <c r="O69" s="70">
        <f t="shared" ref="O69:O127" si="18">N69/$N$4*100</f>
        <v>0.18832768723422896</v>
      </c>
      <c r="P69" s="70">
        <f t="shared" ref="P69:P127" si="19">N69/$N$135/1000000*100</f>
        <v>3.6167299471334784E-2</v>
      </c>
      <c r="Q69" s="75"/>
    </row>
    <row r="70" spans="1:22" ht="26.25">
      <c r="A70" s="65"/>
      <c r="B70" s="122" t="s">
        <v>44</v>
      </c>
      <c r="C70" s="136">
        <v>9792258</v>
      </c>
      <c r="D70" s="70">
        <f t="shared" si="13"/>
        <v>0.2860046802153462</v>
      </c>
      <c r="E70" s="70">
        <f t="shared" si="14"/>
        <v>6.7813421052631578E-2</v>
      </c>
      <c r="F70" s="136">
        <v>8271067</v>
      </c>
      <c r="G70" s="70">
        <f t="shared" si="15"/>
        <v>0.23039004242458852</v>
      </c>
      <c r="H70" s="70"/>
      <c r="I70" s="61">
        <f t="shared" si="11"/>
        <v>-1521191</v>
      </c>
      <c r="J70" s="60">
        <f t="shared" si="12"/>
        <v>-15.534629500162268</v>
      </c>
      <c r="K70" s="136">
        <v>3873387</v>
      </c>
      <c r="L70" s="70">
        <f t="shared" si="16"/>
        <v>0.10390674044788571</v>
      </c>
      <c r="M70" s="70">
        <f t="shared" si="17"/>
        <v>2.2841060266540866E-2</v>
      </c>
      <c r="N70" s="136"/>
      <c r="O70" s="70">
        <f t="shared" si="18"/>
        <v>0</v>
      </c>
      <c r="P70" s="70">
        <f t="shared" si="19"/>
        <v>0</v>
      </c>
      <c r="Q70" s="75"/>
    </row>
    <row r="71" spans="1:22" ht="26.25">
      <c r="A71" s="65"/>
      <c r="B71" s="140" t="s">
        <v>43</v>
      </c>
      <c r="C71" s="143"/>
      <c r="D71" s="70">
        <f t="shared" si="13"/>
        <v>0</v>
      </c>
      <c r="E71" s="70">
        <f t="shared" si="14"/>
        <v>0</v>
      </c>
      <c r="F71" s="143">
        <v>245546</v>
      </c>
      <c r="G71" s="70">
        <f t="shared" si="15"/>
        <v>6.8396681295397567E-3</v>
      </c>
      <c r="H71" s="70"/>
      <c r="I71" s="61">
        <f t="shared" si="11"/>
        <v>245546</v>
      </c>
      <c r="J71" s="60"/>
      <c r="K71" s="143"/>
      <c r="L71" s="70">
        <f t="shared" si="16"/>
        <v>0</v>
      </c>
      <c r="M71" s="70">
        <f t="shared" si="17"/>
        <v>0</v>
      </c>
      <c r="N71" s="143"/>
      <c r="O71" s="70">
        <f t="shared" si="18"/>
        <v>0</v>
      </c>
      <c r="P71" s="70">
        <f t="shared" si="19"/>
        <v>0</v>
      </c>
      <c r="Q71" s="75"/>
    </row>
    <row r="72" spans="1:22">
      <c r="A72" s="65"/>
      <c r="B72" s="139" t="s">
        <v>98</v>
      </c>
      <c r="C72" s="132">
        <v>396161505</v>
      </c>
      <c r="D72" s="70">
        <f t="shared" si="13"/>
        <v>11.570778113807386</v>
      </c>
      <c r="E72" s="70">
        <f t="shared" si="14"/>
        <v>2.7435007271468144</v>
      </c>
      <c r="F72" s="132">
        <v>400235417</v>
      </c>
      <c r="G72" s="70">
        <f t="shared" si="15"/>
        <v>11.148531949076567</v>
      </c>
      <c r="H72" s="70"/>
      <c r="I72" s="61">
        <f t="shared" si="11"/>
        <v>4073912</v>
      </c>
      <c r="J72" s="60">
        <f t="shared" si="12"/>
        <v>1.0283462548942026</v>
      </c>
      <c r="K72" s="132">
        <v>265138837</v>
      </c>
      <c r="L72" s="70">
        <f t="shared" si="16"/>
        <v>7.1125638411068355</v>
      </c>
      <c r="M72" s="70">
        <f t="shared" si="17"/>
        <v>1.563502989739356</v>
      </c>
      <c r="N72" s="132">
        <v>171035196</v>
      </c>
      <c r="O72" s="70">
        <f t="shared" si="18"/>
        <v>4.9508959766587273</v>
      </c>
      <c r="P72" s="70">
        <f t="shared" si="19"/>
        <v>0.9507924196856915</v>
      </c>
      <c r="Q72" s="75"/>
    </row>
    <row r="73" spans="1:22">
      <c r="A73" s="65"/>
      <c r="B73" s="115" t="s">
        <v>79</v>
      </c>
      <c r="C73" s="134">
        <v>121489900</v>
      </c>
      <c r="D73" s="70">
        <f t="shared" si="13"/>
        <v>3.5483828141470934</v>
      </c>
      <c r="E73" s="70">
        <f t="shared" si="14"/>
        <v>0.8413427977839335</v>
      </c>
      <c r="F73" s="134">
        <v>133272352</v>
      </c>
      <c r="G73" s="70">
        <f t="shared" si="15"/>
        <v>3.7122928433906646</v>
      </c>
      <c r="H73" s="70"/>
      <c r="I73" s="61">
        <f t="shared" si="11"/>
        <v>11782452</v>
      </c>
      <c r="J73" s="60">
        <f t="shared" si="12"/>
        <v>9.6982975539530401</v>
      </c>
      <c r="K73" s="134">
        <v>134274442</v>
      </c>
      <c r="L73" s="70">
        <f t="shared" si="16"/>
        <v>3.602020555570276</v>
      </c>
      <c r="M73" s="70">
        <f t="shared" si="17"/>
        <v>0.79180588512796324</v>
      </c>
      <c r="N73" s="134">
        <v>134244306</v>
      </c>
      <c r="O73" s="70">
        <f t="shared" si="18"/>
        <v>3.8859229562594999</v>
      </c>
      <c r="P73" s="70">
        <f t="shared" si="19"/>
        <v>0.74627019184265675</v>
      </c>
      <c r="Q73" s="75"/>
    </row>
    <row r="74" spans="1:22">
      <c r="A74" s="65"/>
      <c r="B74" s="120" t="s">
        <v>80</v>
      </c>
      <c r="C74" s="136">
        <v>274671605</v>
      </c>
      <c r="D74" s="70">
        <f t="shared" si="13"/>
        <v>8.0223952996602907</v>
      </c>
      <c r="E74" s="70">
        <f t="shared" si="14"/>
        <v>1.902157929362881</v>
      </c>
      <c r="F74" s="136">
        <v>266963065</v>
      </c>
      <c r="G74" s="70">
        <f t="shared" si="15"/>
        <v>7.4362391056859014</v>
      </c>
      <c r="H74" s="70"/>
      <c r="I74" s="61">
        <f t="shared" si="11"/>
        <v>-7708540</v>
      </c>
      <c r="J74" s="60">
        <f t="shared" si="12"/>
        <v>-2.8064568232307892</v>
      </c>
      <c r="K74" s="136">
        <v>130864395</v>
      </c>
      <c r="L74" s="70">
        <f t="shared" si="16"/>
        <v>3.510543285536559</v>
      </c>
      <c r="M74" s="70">
        <f t="shared" si="17"/>
        <v>0.77169710461139285</v>
      </c>
      <c r="N74" s="136">
        <v>36790890</v>
      </c>
      <c r="O74" s="70">
        <f t="shared" si="18"/>
        <v>1.0649730203992271</v>
      </c>
      <c r="P74" s="70">
        <f t="shared" si="19"/>
        <v>0.20452222784303481</v>
      </c>
      <c r="Q74" s="75"/>
    </row>
    <row r="75" spans="1:22" ht="26.25">
      <c r="A75" s="65"/>
      <c r="B75" s="122" t="s">
        <v>44</v>
      </c>
      <c r="C75" s="136">
        <v>66269888</v>
      </c>
      <c r="D75" s="70">
        <f t="shared" si="13"/>
        <v>1.9355595129690015</v>
      </c>
      <c r="E75" s="70">
        <f t="shared" si="14"/>
        <v>0.45893274238227144</v>
      </c>
      <c r="F75" s="136">
        <v>92815373</v>
      </c>
      <c r="G75" s="70">
        <f t="shared" si="15"/>
        <v>2.5853662802059283</v>
      </c>
      <c r="H75" s="70"/>
      <c r="I75" s="61">
        <f t="shared" si="11"/>
        <v>26545485</v>
      </c>
      <c r="J75" s="60">
        <f t="shared" si="12"/>
        <v>40.056631754078126</v>
      </c>
      <c r="K75" s="136">
        <v>47320823</v>
      </c>
      <c r="L75" s="70">
        <f t="shared" si="16"/>
        <v>1.2694193668851941</v>
      </c>
      <c r="M75" s="70">
        <f t="shared" si="17"/>
        <v>0.27904719306521997</v>
      </c>
      <c r="N75" s="136">
        <v>2412743</v>
      </c>
      <c r="O75" s="70">
        <f t="shared" si="18"/>
        <v>6.9840827448237663E-2</v>
      </c>
      <c r="P75" s="70">
        <f t="shared" si="19"/>
        <v>1.3412547877278514E-2</v>
      </c>
      <c r="Q75" s="75"/>
    </row>
    <row r="76" spans="1:22" s="59" customFormat="1">
      <c r="A76" s="64"/>
      <c r="B76" s="138" t="s">
        <v>99</v>
      </c>
      <c r="C76" s="132">
        <v>215048333</v>
      </c>
      <c r="D76" s="70">
        <f t="shared" si="13"/>
        <v>6.2809649940298033</v>
      </c>
      <c r="E76" s="70">
        <f t="shared" si="14"/>
        <v>1.4892543836565098</v>
      </c>
      <c r="F76" s="132">
        <v>245983593</v>
      </c>
      <c r="G76" s="70">
        <f t="shared" si="15"/>
        <v>6.8518572545746173</v>
      </c>
      <c r="H76" s="70">
        <f t="shared" ref="H76:H89" si="20">F76/$F$135/1000000*100</f>
        <v>1.5387919864877546</v>
      </c>
      <c r="I76" s="61">
        <f t="shared" si="11"/>
        <v>30935260</v>
      </c>
      <c r="J76" s="60">
        <f t="shared" si="12"/>
        <v>14.385259150090704</v>
      </c>
      <c r="K76" s="132">
        <v>342052878</v>
      </c>
      <c r="L76" s="70">
        <f t="shared" si="16"/>
        <v>9.1758452263608881</v>
      </c>
      <c r="M76" s="70">
        <f t="shared" si="17"/>
        <v>2.0170590753626603</v>
      </c>
      <c r="N76" s="132">
        <v>340726477</v>
      </c>
      <c r="O76" s="70">
        <f t="shared" si="18"/>
        <v>9.8628901160226832</v>
      </c>
      <c r="P76" s="70">
        <f t="shared" si="19"/>
        <v>1.8941139548716692</v>
      </c>
      <c r="Q76" s="75"/>
    </row>
    <row r="77" spans="1:22" s="59" customFormat="1">
      <c r="A77" s="64"/>
      <c r="B77" s="115" t="s">
        <v>79</v>
      </c>
      <c r="C77" s="134">
        <v>176963866</v>
      </c>
      <c r="D77" s="70">
        <f t="shared" si="13"/>
        <v>5.1686234068793304</v>
      </c>
      <c r="E77" s="70">
        <f t="shared" si="14"/>
        <v>1.2255115373961218</v>
      </c>
      <c r="F77" s="134">
        <v>181406831</v>
      </c>
      <c r="G77" s="70">
        <f t="shared" si="15"/>
        <v>5.0530756781682644</v>
      </c>
      <c r="H77" s="70">
        <f t="shared" si="20"/>
        <v>1.1348211253948892</v>
      </c>
      <c r="I77" s="61">
        <f t="shared" si="11"/>
        <v>4442965</v>
      </c>
      <c r="J77" s="60">
        <f t="shared" si="12"/>
        <v>2.5106622614133016</v>
      </c>
      <c r="K77" s="134">
        <v>317332185</v>
      </c>
      <c r="L77" s="70">
        <f t="shared" si="16"/>
        <v>8.5126926337480491</v>
      </c>
      <c r="M77" s="70">
        <f t="shared" si="17"/>
        <v>1.8712830817313362</v>
      </c>
      <c r="N77" s="134">
        <v>334489237</v>
      </c>
      <c r="O77" s="70">
        <f t="shared" si="18"/>
        <v>9.6823429120340094</v>
      </c>
      <c r="P77" s="70">
        <f t="shared" si="19"/>
        <v>1.8594408545364589</v>
      </c>
      <c r="Q77" s="75"/>
    </row>
    <row r="78" spans="1:22">
      <c r="A78" s="65"/>
      <c r="B78" s="142" t="s">
        <v>12</v>
      </c>
      <c r="C78" s="134">
        <v>15002174</v>
      </c>
      <c r="D78" s="70">
        <f t="shared" si="13"/>
        <v>0.43817186775562711</v>
      </c>
      <c r="E78" s="70">
        <f t="shared" si="14"/>
        <v>0.10389317174515236</v>
      </c>
      <c r="F78" s="134">
        <v>18489278</v>
      </c>
      <c r="G78" s="70">
        <f t="shared" si="15"/>
        <v>0.51501765646681508</v>
      </c>
      <c r="H78" s="70">
        <f t="shared" si="20"/>
        <v>0.11566280691877014</v>
      </c>
      <c r="I78" s="61">
        <f t="shared" si="11"/>
        <v>3487104</v>
      </c>
      <c r="J78" s="60">
        <f t="shared" si="12"/>
        <v>23.243991170879625</v>
      </c>
      <c r="K78" s="134">
        <v>144926472</v>
      </c>
      <c r="L78" s="70">
        <f t="shared" si="16"/>
        <v>3.8877698794702873</v>
      </c>
      <c r="M78" s="70">
        <f t="shared" si="17"/>
        <v>0.8546200731218303</v>
      </c>
      <c r="N78" s="134">
        <v>139648927</v>
      </c>
      <c r="O78" s="70">
        <f t="shared" si="18"/>
        <v>4.0423686293726835</v>
      </c>
      <c r="P78" s="70">
        <f t="shared" si="19"/>
        <v>0.77631472535536195</v>
      </c>
      <c r="Q78" s="75"/>
    </row>
    <row r="79" spans="1:22" s="59" customFormat="1">
      <c r="A79" s="64"/>
      <c r="B79" s="120" t="s">
        <v>80</v>
      </c>
      <c r="C79" s="136">
        <v>38084467</v>
      </c>
      <c r="D79" s="70">
        <f t="shared" si="13"/>
        <v>1.1123415871504718</v>
      </c>
      <c r="E79" s="70">
        <f t="shared" si="14"/>
        <v>0.2637428462603878</v>
      </c>
      <c r="F79" s="136">
        <v>64576762</v>
      </c>
      <c r="G79" s="70">
        <f t="shared" si="15"/>
        <v>1.7987815764063517</v>
      </c>
      <c r="H79" s="70">
        <f t="shared" si="20"/>
        <v>0.40397086109286545</v>
      </c>
      <c r="I79" s="61">
        <f t="shared" si="11"/>
        <v>26492295</v>
      </c>
      <c r="J79" s="60">
        <f t="shared" si="12"/>
        <v>69.561942405548194</v>
      </c>
      <c r="K79" s="136">
        <v>24720693</v>
      </c>
      <c r="L79" s="70">
        <f t="shared" si="16"/>
        <v>0.66315259261283876</v>
      </c>
      <c r="M79" s="70">
        <f t="shared" si="17"/>
        <v>0.14577599363132446</v>
      </c>
      <c r="N79" s="136">
        <v>6237240</v>
      </c>
      <c r="O79" s="70">
        <f t="shared" si="18"/>
        <v>0.18054720398867424</v>
      </c>
      <c r="P79" s="70">
        <f t="shared" si="19"/>
        <v>3.4673100335210434E-2</v>
      </c>
      <c r="Q79" s="75"/>
    </row>
    <row r="80" spans="1:22" s="59" customFormat="1" ht="26.25">
      <c r="A80" s="64"/>
      <c r="B80" s="122" t="s">
        <v>44</v>
      </c>
      <c r="C80" s="136">
        <v>16460882</v>
      </c>
      <c r="D80" s="70">
        <f t="shared" si="13"/>
        <v>0.48077668015615488</v>
      </c>
      <c r="E80" s="70">
        <f t="shared" si="14"/>
        <v>0.11399502770083102</v>
      </c>
      <c r="F80" s="136">
        <v>32043379</v>
      </c>
      <c r="G80" s="70">
        <f t="shared" si="15"/>
        <v>0.89256627315885217</v>
      </c>
      <c r="H80" s="70">
        <f t="shared" si="20"/>
        <v>0.20045277908104217</v>
      </c>
      <c r="I80" s="61">
        <f t="shared" si="11"/>
        <v>15582497</v>
      </c>
      <c r="J80" s="60">
        <f t="shared" si="12"/>
        <v>94.663803555605341</v>
      </c>
      <c r="K80" s="136">
        <v>11250337</v>
      </c>
      <c r="L80" s="70">
        <f t="shared" si="16"/>
        <v>0.30179939329848665</v>
      </c>
      <c r="M80" s="70">
        <f t="shared" si="17"/>
        <v>6.634235758933836E-2</v>
      </c>
      <c r="N80" s="136">
        <v>2659930</v>
      </c>
      <c r="O80" s="70">
        <f t="shared" si="18"/>
        <v>7.6996063051220462E-2</v>
      </c>
      <c r="P80" s="70">
        <f t="shared" si="19"/>
        <v>1.4786671632747224E-2</v>
      </c>
      <c r="Q80" s="75"/>
      <c r="V80" s="161"/>
    </row>
    <row r="81" spans="1:17">
      <c r="A81" s="65"/>
      <c r="B81" s="142" t="s">
        <v>12</v>
      </c>
      <c r="C81" s="136">
        <v>0</v>
      </c>
      <c r="D81" s="70">
        <f t="shared" si="13"/>
        <v>0</v>
      </c>
      <c r="E81" s="70">
        <f t="shared" si="14"/>
        <v>0</v>
      </c>
      <c r="F81" s="136">
        <v>919833</v>
      </c>
      <c r="G81" s="70">
        <f t="shared" si="15"/>
        <v>2.5621889399945193E-2</v>
      </c>
      <c r="H81" s="70">
        <f t="shared" si="20"/>
        <v>5.7541709674392419E-3</v>
      </c>
      <c r="I81" s="61">
        <f t="shared" si="11"/>
        <v>919833</v>
      </c>
      <c r="J81" s="60"/>
      <c r="K81" s="136">
        <v>273844</v>
      </c>
      <c r="L81" s="70">
        <f t="shared" si="16"/>
        <v>7.3460868824134591E-3</v>
      </c>
      <c r="M81" s="70">
        <f t="shared" si="17"/>
        <v>1.614836655265951E-3</v>
      </c>
      <c r="N81" s="136"/>
      <c r="O81" s="70">
        <f t="shared" si="18"/>
        <v>0</v>
      </c>
      <c r="P81" s="70">
        <f t="shared" si="19"/>
        <v>0</v>
      </c>
      <c r="Q81" s="75"/>
    </row>
    <row r="82" spans="1:17" s="66" customFormat="1">
      <c r="A82" s="68"/>
      <c r="B82" s="139" t="s">
        <v>100</v>
      </c>
      <c r="C82" s="132">
        <v>99927771</v>
      </c>
      <c r="D82" s="70">
        <f t="shared" si="13"/>
        <v>2.9186128663570083</v>
      </c>
      <c r="E82" s="70">
        <f t="shared" si="14"/>
        <v>0.69202057479224377</v>
      </c>
      <c r="F82" s="132">
        <v>107242769</v>
      </c>
      <c r="G82" s="70">
        <f t="shared" si="15"/>
        <v>2.9872404732835975</v>
      </c>
      <c r="H82" s="70">
        <f t="shared" si="20"/>
        <v>0.67087528697882448</v>
      </c>
      <c r="I82" s="61">
        <f t="shared" si="11"/>
        <v>7314998</v>
      </c>
      <c r="J82" s="60">
        <f t="shared" si="12"/>
        <v>7.3202853689191159</v>
      </c>
      <c r="K82" s="132">
        <v>106023905</v>
      </c>
      <c r="L82" s="70">
        <f t="shared" si="16"/>
        <v>2.8441770414643033</v>
      </c>
      <c r="M82" s="70">
        <f t="shared" si="17"/>
        <v>0.62521467743837711</v>
      </c>
      <c r="N82" s="132">
        <v>103772784</v>
      </c>
      <c r="O82" s="70">
        <f t="shared" si="18"/>
        <v>3.0038744703299267</v>
      </c>
      <c r="P82" s="70">
        <f t="shared" si="19"/>
        <v>0.57687761761550305</v>
      </c>
      <c r="Q82" s="75"/>
    </row>
    <row r="83" spans="1:17">
      <c r="A83" s="65"/>
      <c r="B83" s="115" t="s">
        <v>79</v>
      </c>
      <c r="C83" s="134">
        <v>91172054</v>
      </c>
      <c r="D83" s="70">
        <f t="shared" si="13"/>
        <v>2.6628826720911842</v>
      </c>
      <c r="E83" s="70">
        <f t="shared" si="14"/>
        <v>0.6313854155124653</v>
      </c>
      <c r="F83" s="134">
        <v>99733719</v>
      </c>
      <c r="G83" s="70">
        <f t="shared" si="15"/>
        <v>2.778076365669869</v>
      </c>
      <c r="H83" s="70">
        <f t="shared" si="20"/>
        <v>0.62390115417096736</v>
      </c>
      <c r="I83" s="61">
        <f t="shared" si="11"/>
        <v>8561665</v>
      </c>
      <c r="J83" s="60">
        <f t="shared" si="12"/>
        <v>9.3906681097696918</v>
      </c>
      <c r="K83" s="134">
        <v>103040322</v>
      </c>
      <c r="L83" s="70">
        <f t="shared" si="16"/>
        <v>2.764140013306331</v>
      </c>
      <c r="M83" s="70">
        <f t="shared" si="17"/>
        <v>0.60762072178322912</v>
      </c>
      <c r="N83" s="134">
        <v>102772880</v>
      </c>
      <c r="O83" s="70">
        <f t="shared" si="18"/>
        <v>2.9749305990892672</v>
      </c>
      <c r="P83" s="70">
        <f t="shared" si="19"/>
        <v>0.57131910588313772</v>
      </c>
      <c r="Q83" s="75"/>
    </row>
    <row r="84" spans="1:17" s="59" customFormat="1">
      <c r="A84" s="64"/>
      <c r="B84" s="120" t="s">
        <v>80</v>
      </c>
      <c r="C84" s="136">
        <v>8755717</v>
      </c>
      <c r="D84" s="70">
        <f t="shared" si="13"/>
        <v>0.25573019426582416</v>
      </c>
      <c r="E84" s="70">
        <f t="shared" si="14"/>
        <v>6.0635159279778396E-2</v>
      </c>
      <c r="F84" s="136">
        <v>7509050</v>
      </c>
      <c r="G84" s="70">
        <f t="shared" si="15"/>
        <v>0.20916410761372822</v>
      </c>
      <c r="H84" s="70">
        <f t="shared" si="20"/>
        <v>4.6974132807857116E-2</v>
      </c>
      <c r="I84" s="61">
        <f t="shared" si="11"/>
        <v>-1246667</v>
      </c>
      <c r="J84" s="60">
        <f t="shared" si="12"/>
        <v>-14.238319945699473</v>
      </c>
      <c r="K84" s="136">
        <v>2983583</v>
      </c>
      <c r="L84" s="70">
        <f t="shared" si="16"/>
        <v>8.0037028157972395E-2</v>
      </c>
      <c r="M84" s="70">
        <f t="shared" si="17"/>
        <v>1.7593955655148014E-2</v>
      </c>
      <c r="N84" s="136">
        <v>999904</v>
      </c>
      <c r="O84" s="70">
        <f t="shared" si="18"/>
        <v>2.8943871240659544E-2</v>
      </c>
      <c r="P84" s="70">
        <f t="shared" si="19"/>
        <v>5.5585117323653181E-3</v>
      </c>
      <c r="Q84" s="75"/>
    </row>
    <row r="85" spans="1:17" s="59" customFormat="1" ht="26.25">
      <c r="A85" s="64"/>
      <c r="B85" s="122" t="s">
        <v>44</v>
      </c>
      <c r="C85" s="136">
        <v>48041</v>
      </c>
      <c r="D85" s="70">
        <f t="shared" si="13"/>
        <v>1.4031442842116137E-3</v>
      </c>
      <c r="E85" s="70">
        <f t="shared" si="14"/>
        <v>3.3269390581717453E-4</v>
      </c>
      <c r="F85" s="136">
        <v>137542</v>
      </c>
      <c r="G85" s="70">
        <f t="shared" si="15"/>
        <v>3.8312236154250411E-3</v>
      </c>
      <c r="H85" s="70">
        <f t="shared" si="20"/>
        <v>8.6041725313565408E-4</v>
      </c>
      <c r="I85" s="61">
        <f t="shared" si="11"/>
        <v>89501</v>
      </c>
      <c r="J85" s="60">
        <f t="shared" si="12"/>
        <v>186.30128431964363</v>
      </c>
      <c r="K85" s="136">
        <v>83260</v>
      </c>
      <c r="L85" s="70">
        <f t="shared" si="16"/>
        <v>2.2335168702974852E-3</v>
      </c>
      <c r="M85" s="70">
        <f t="shared" si="17"/>
        <v>4.9097770963557022E-4</v>
      </c>
      <c r="N85" s="136"/>
      <c r="O85" s="70">
        <f t="shared" si="18"/>
        <v>0</v>
      </c>
      <c r="P85" s="70">
        <f t="shared" si="19"/>
        <v>0</v>
      </c>
      <c r="Q85" s="75"/>
    </row>
    <row r="86" spans="1:17" ht="28.5" customHeight="1">
      <c r="A86" s="65"/>
      <c r="B86" s="146" t="s">
        <v>101</v>
      </c>
      <c r="C86" s="132">
        <v>204707543</v>
      </c>
      <c r="D86" s="70">
        <f t="shared" si="13"/>
        <v>5.9789392164079249</v>
      </c>
      <c r="E86" s="70">
        <f t="shared" si="14"/>
        <v>1.4176422645429363</v>
      </c>
      <c r="F86" s="132">
        <v>195218782</v>
      </c>
      <c r="G86" s="70">
        <f t="shared" si="15"/>
        <v>5.4378066901231117</v>
      </c>
      <c r="H86" s="70">
        <f t="shared" si="20"/>
        <v>1.2212241218604361</v>
      </c>
      <c r="I86" s="61">
        <f t="shared" si="11"/>
        <v>-9488761</v>
      </c>
      <c r="J86" s="60">
        <f t="shared" si="12"/>
        <v>-4.6352766785931294</v>
      </c>
      <c r="K86" s="132">
        <v>141686416</v>
      </c>
      <c r="L86" s="70">
        <f t="shared" si="16"/>
        <v>3.8008527555607441</v>
      </c>
      <c r="M86" s="70">
        <f t="shared" si="17"/>
        <v>0.83551371624012261</v>
      </c>
      <c r="N86" s="132">
        <v>57446005</v>
      </c>
      <c r="O86" s="70">
        <f t="shared" si="18"/>
        <v>1.6628694074734016</v>
      </c>
      <c r="P86" s="70">
        <f t="shared" si="19"/>
        <v>0.31934494988520568</v>
      </c>
      <c r="Q86" s="75"/>
    </row>
    <row r="87" spans="1:17">
      <c r="A87" s="65"/>
      <c r="B87" s="115" t="s">
        <v>79</v>
      </c>
      <c r="C87" s="134">
        <v>78141066</v>
      </c>
      <c r="D87" s="70">
        <f t="shared" si="13"/>
        <v>2.282283676861482</v>
      </c>
      <c r="E87" s="70">
        <f t="shared" si="14"/>
        <v>0.54114311634349033</v>
      </c>
      <c r="F87" s="134">
        <v>83594948</v>
      </c>
      <c r="G87" s="70">
        <f t="shared" si="15"/>
        <v>2.3285319313942532</v>
      </c>
      <c r="H87" s="70">
        <f t="shared" si="20"/>
        <v>0.52294234149698171</v>
      </c>
      <c r="I87" s="61">
        <f t="shared" si="11"/>
        <v>5453882</v>
      </c>
      <c r="J87" s="60">
        <f t="shared" si="12"/>
        <v>6.9795336551973861</v>
      </c>
      <c r="K87" s="134">
        <v>64076913</v>
      </c>
      <c r="L87" s="70">
        <f t="shared" si="16"/>
        <v>1.7189150394197001</v>
      </c>
      <c r="M87" s="70">
        <f t="shared" si="17"/>
        <v>0.37785654558320558</v>
      </c>
      <c r="N87" s="134">
        <v>36712516</v>
      </c>
      <c r="O87" s="70">
        <f t="shared" si="18"/>
        <v>1.0627043556427951</v>
      </c>
      <c r="P87" s="70">
        <f t="shared" si="19"/>
        <v>0.20408654321879849</v>
      </c>
      <c r="Q87" s="75"/>
    </row>
    <row r="88" spans="1:17" ht="26.25">
      <c r="A88" s="65"/>
      <c r="B88" s="140" t="s">
        <v>43</v>
      </c>
      <c r="C88" s="141">
        <v>1457004</v>
      </c>
      <c r="D88" s="70">
        <f t="shared" si="13"/>
        <v>4.2555043289553875E-2</v>
      </c>
      <c r="E88" s="70">
        <f t="shared" si="14"/>
        <v>1.009005540166205E-2</v>
      </c>
      <c r="F88" s="141"/>
      <c r="G88" s="70">
        <f t="shared" si="15"/>
        <v>0</v>
      </c>
      <c r="H88" s="70">
        <f t="shared" si="20"/>
        <v>0</v>
      </c>
      <c r="I88" s="61">
        <f t="shared" si="11"/>
        <v>-1457004</v>
      </c>
      <c r="J88" s="60">
        <f t="shared" si="12"/>
        <v>-100</v>
      </c>
      <c r="K88" s="141"/>
      <c r="L88" s="70">
        <f t="shared" si="16"/>
        <v>0</v>
      </c>
      <c r="M88" s="70">
        <f t="shared" si="17"/>
        <v>0</v>
      </c>
      <c r="N88" s="141"/>
      <c r="O88" s="70">
        <f t="shared" si="18"/>
        <v>0</v>
      </c>
      <c r="P88" s="70">
        <f t="shared" si="19"/>
        <v>0</v>
      </c>
      <c r="Q88" s="75"/>
    </row>
    <row r="89" spans="1:17">
      <c r="A89" s="65"/>
      <c r="B89" s="120" t="s">
        <v>80</v>
      </c>
      <c r="C89" s="136">
        <v>126566477</v>
      </c>
      <c r="D89" s="70">
        <f t="shared" si="13"/>
        <v>3.6966555395464429</v>
      </c>
      <c r="E89" s="70">
        <f t="shared" si="14"/>
        <v>0.87649914819944619</v>
      </c>
      <c r="F89" s="136">
        <v>111623834</v>
      </c>
      <c r="G89" s="70">
        <f t="shared" si="15"/>
        <v>3.1092747587288585</v>
      </c>
      <c r="H89" s="70">
        <f t="shared" si="20"/>
        <v>0.69828178036345434</v>
      </c>
      <c r="I89" s="61">
        <f t="shared" si="11"/>
        <v>-14942643</v>
      </c>
      <c r="J89" s="60">
        <f t="shared" si="12"/>
        <v>-11.806161753242122</v>
      </c>
      <c r="K89" s="136">
        <v>77609503</v>
      </c>
      <c r="L89" s="70">
        <f t="shared" si="16"/>
        <v>2.0819377161410437</v>
      </c>
      <c r="M89" s="70">
        <f t="shared" si="17"/>
        <v>0.45765717065691708</v>
      </c>
      <c r="N89" s="136">
        <v>20733489</v>
      </c>
      <c r="O89" s="70">
        <f t="shared" si="18"/>
        <v>0.60016505183060675</v>
      </c>
      <c r="P89" s="70">
        <f t="shared" si="19"/>
        <v>0.11525840666640724</v>
      </c>
      <c r="Q89" s="75"/>
    </row>
    <row r="90" spans="1:17" ht="26.25">
      <c r="A90" s="65"/>
      <c r="B90" s="122" t="s">
        <v>44</v>
      </c>
      <c r="C90" s="136">
        <v>9832449</v>
      </c>
      <c r="D90" s="70">
        <f t="shared" si="13"/>
        <v>0.28717854778527085</v>
      </c>
      <c r="E90" s="70">
        <f t="shared" si="14"/>
        <v>6.8091752077562337E-2</v>
      </c>
      <c r="F90" s="136">
        <v>6799335</v>
      </c>
      <c r="G90" s="70">
        <f t="shared" si="15"/>
        <v>0.18939504166862503</v>
      </c>
      <c r="H90" s="70"/>
      <c r="I90" s="61">
        <f t="shared" si="11"/>
        <v>-3033114</v>
      </c>
      <c r="J90" s="60">
        <f t="shared" si="12"/>
        <v>-30.848001347375416</v>
      </c>
      <c r="K90" s="136">
        <v>5535911</v>
      </c>
      <c r="L90" s="70">
        <f t="shared" si="16"/>
        <v>0.14850529198853496</v>
      </c>
      <c r="M90" s="70">
        <f t="shared" si="17"/>
        <v>3.2644834296497227E-2</v>
      </c>
      <c r="N90" s="136">
        <v>1477371</v>
      </c>
      <c r="O90" s="70">
        <f t="shared" si="18"/>
        <v>4.2764941433062004E-2</v>
      </c>
      <c r="P90" s="70">
        <f t="shared" si="19"/>
        <v>8.2127724627127034E-3</v>
      </c>
      <c r="Q90" s="75"/>
    </row>
    <row r="91" spans="1:17">
      <c r="A91" s="65"/>
      <c r="B91" s="139" t="s">
        <v>102</v>
      </c>
      <c r="C91" s="132">
        <v>103461470</v>
      </c>
      <c r="D91" s="70">
        <f t="shared" si="13"/>
        <v>3.0218224072486279</v>
      </c>
      <c r="E91" s="70">
        <f t="shared" si="14"/>
        <v>0.71649217451523539</v>
      </c>
      <c r="F91" s="132">
        <v>88953938</v>
      </c>
      <c r="G91" s="70">
        <f t="shared" si="15"/>
        <v>2.4778062551849978</v>
      </c>
      <c r="H91" s="70">
        <f>F91/$F$135/1000000*100</f>
        <v>0.55646641018422949</v>
      </c>
      <c r="I91" s="61">
        <f t="shared" si="11"/>
        <v>-14507532</v>
      </c>
      <c r="J91" s="60">
        <f t="shared" si="12"/>
        <v>-14.022159167079295</v>
      </c>
      <c r="K91" s="132">
        <v>69074048</v>
      </c>
      <c r="L91" s="70">
        <f t="shared" si="16"/>
        <v>1.8529672292546033</v>
      </c>
      <c r="M91" s="70">
        <f t="shared" si="17"/>
        <v>0.40732425993631322</v>
      </c>
      <c r="N91" s="132">
        <v>63689614</v>
      </c>
      <c r="O91" s="70">
        <f t="shared" si="18"/>
        <v>1.8436009726766844</v>
      </c>
      <c r="P91" s="70">
        <f t="shared" si="19"/>
        <v>0.35405345578057335</v>
      </c>
      <c r="Q91" s="75"/>
    </row>
    <row r="92" spans="1:17">
      <c r="A92" s="65"/>
      <c r="B92" s="115" t="s">
        <v>79</v>
      </c>
      <c r="C92" s="134">
        <v>94351450</v>
      </c>
      <c r="D92" s="70">
        <f t="shared" si="13"/>
        <v>2.755744005632228</v>
      </c>
      <c r="E92" s="70">
        <f t="shared" si="14"/>
        <v>0.65340339335180053</v>
      </c>
      <c r="F92" s="134">
        <v>85572147</v>
      </c>
      <c r="G92" s="70">
        <f t="shared" si="15"/>
        <v>2.3836066831151439</v>
      </c>
      <c r="H92" s="70">
        <f>F92/$F$135/1000000*100</f>
        <v>0.53531104438397303</v>
      </c>
      <c r="I92" s="61">
        <f t="shared" si="11"/>
        <v>-8779303</v>
      </c>
      <c r="J92" s="60">
        <f t="shared" si="12"/>
        <v>-9.3048946253608165</v>
      </c>
      <c r="K92" s="134">
        <v>65859152</v>
      </c>
      <c r="L92" s="70">
        <f t="shared" si="16"/>
        <v>1.7667250427034153</v>
      </c>
      <c r="M92" s="70">
        <f t="shared" si="17"/>
        <v>0.388366269607265</v>
      </c>
      <c r="N92" s="134">
        <v>61636750</v>
      </c>
      <c r="O92" s="70">
        <f t="shared" si="18"/>
        <v>1.7841774367266479</v>
      </c>
      <c r="P92" s="70">
        <f t="shared" si="19"/>
        <v>0.34264149160306195</v>
      </c>
      <c r="Q92" s="75"/>
    </row>
    <row r="93" spans="1:17" ht="26.25">
      <c r="A93" s="65"/>
      <c r="B93" s="140" t="s">
        <v>43</v>
      </c>
      <c r="C93" s="134"/>
      <c r="D93" s="70">
        <f t="shared" si="13"/>
        <v>0</v>
      </c>
      <c r="E93" s="70">
        <f t="shared" si="14"/>
        <v>0</v>
      </c>
      <c r="F93" s="134"/>
      <c r="G93" s="70">
        <f t="shared" si="15"/>
        <v>0</v>
      </c>
      <c r="H93" s="70"/>
      <c r="I93" s="61"/>
      <c r="J93" s="60"/>
      <c r="K93" s="134"/>
      <c r="L93" s="70">
        <f t="shared" si="16"/>
        <v>0</v>
      </c>
      <c r="M93" s="70">
        <f t="shared" si="17"/>
        <v>0</v>
      </c>
      <c r="N93" s="134"/>
      <c r="O93" s="70">
        <f t="shared" si="18"/>
        <v>0</v>
      </c>
      <c r="P93" s="70">
        <f t="shared" si="19"/>
        <v>0</v>
      </c>
      <c r="Q93" s="75"/>
    </row>
    <row r="94" spans="1:17">
      <c r="A94" s="65"/>
      <c r="B94" s="120" t="s">
        <v>80</v>
      </c>
      <c r="C94" s="136">
        <v>9110020</v>
      </c>
      <c r="D94" s="70">
        <f t="shared" si="13"/>
        <v>0.26607840161640028</v>
      </c>
      <c r="E94" s="70">
        <f t="shared" si="14"/>
        <v>6.3088781163434901E-2</v>
      </c>
      <c r="F94" s="136">
        <v>3381791</v>
      </c>
      <c r="G94" s="70">
        <f t="shared" si="15"/>
        <v>9.4199572069854048E-2</v>
      </c>
      <c r="H94" s="70">
        <f>F94/$F$135/1000000*100</f>
        <v>2.1155365800256482E-2</v>
      </c>
      <c r="I94" s="61">
        <f t="shared" si="11"/>
        <v>-5728229</v>
      </c>
      <c r="J94" s="60">
        <f t="shared" si="12"/>
        <v>-62.878336161720831</v>
      </c>
      <c r="K94" s="136">
        <v>3214896</v>
      </c>
      <c r="L94" s="70">
        <f t="shared" si="16"/>
        <v>8.6242186551187899E-2</v>
      </c>
      <c r="M94" s="70">
        <f t="shared" si="17"/>
        <v>1.8957990329048238E-2</v>
      </c>
      <c r="N94" s="136">
        <v>2052864</v>
      </c>
      <c r="O94" s="70">
        <f t="shared" si="18"/>
        <v>5.9423535950036514E-2</v>
      </c>
      <c r="P94" s="70">
        <f t="shared" si="19"/>
        <v>1.1411964177511436E-2</v>
      </c>
      <c r="Q94" s="75"/>
    </row>
    <row r="95" spans="1:17" ht="26.25">
      <c r="A95" s="65"/>
      <c r="B95" s="122" t="s">
        <v>44</v>
      </c>
      <c r="C95" s="136">
        <v>678314</v>
      </c>
      <c r="D95" s="70">
        <f t="shared" si="13"/>
        <v>1.9811669449027219E-2</v>
      </c>
      <c r="E95" s="70">
        <f t="shared" si="14"/>
        <v>4.6974653739612193E-3</v>
      </c>
      <c r="F95" s="136">
        <v>960842</v>
      </c>
      <c r="G95" s="70">
        <f t="shared" si="15"/>
        <v>2.6764192472788152E-2</v>
      </c>
      <c r="H95" s="70"/>
      <c r="I95" s="61">
        <f t="shared" si="11"/>
        <v>282528</v>
      </c>
      <c r="J95" s="60">
        <f t="shared" si="12"/>
        <v>41.65150652942441</v>
      </c>
      <c r="K95" s="136">
        <v>953449</v>
      </c>
      <c r="L95" s="70">
        <f t="shared" si="16"/>
        <v>2.5577040913623193E-2</v>
      </c>
      <c r="M95" s="70">
        <f t="shared" si="17"/>
        <v>5.6224141997877099E-3</v>
      </c>
      <c r="N95" s="136">
        <v>820062</v>
      </c>
      <c r="O95" s="70">
        <f t="shared" si="18"/>
        <v>2.3738047789945579E-2</v>
      </c>
      <c r="P95" s="70">
        <f t="shared" si="19"/>
        <v>4.5587618894083505E-3</v>
      </c>
      <c r="Q95" s="75"/>
    </row>
    <row r="96" spans="1:17">
      <c r="A96" s="65"/>
      <c r="B96" s="131" t="s">
        <v>103</v>
      </c>
      <c r="C96" s="132">
        <v>2642381</v>
      </c>
      <c r="D96" s="70">
        <f t="shared" si="13"/>
        <v>7.7176615741957236E-2</v>
      </c>
      <c r="E96" s="70">
        <f t="shared" si="14"/>
        <v>1.8299037396121882E-2</v>
      </c>
      <c r="F96" s="132">
        <v>2642381</v>
      </c>
      <c r="G96" s="70">
        <f t="shared" si="15"/>
        <v>7.3603353798479279E-2</v>
      </c>
      <c r="H96" s="70">
        <f t="shared" ref="H96:H104" si="21">F96/$F$135/1000000*100</f>
        <v>1.6529861436927213E-2</v>
      </c>
      <c r="I96" s="61">
        <f t="shared" ref="I96:I127" si="22">F96-C96</f>
        <v>0</v>
      </c>
      <c r="J96" s="60">
        <f t="shared" ref="J96:J127" si="23">F96/C96*100-100</f>
        <v>0</v>
      </c>
      <c r="K96" s="132">
        <v>2642381</v>
      </c>
      <c r="L96" s="70">
        <f t="shared" si="16"/>
        <v>7.0884008422454237E-2</v>
      </c>
      <c r="M96" s="70">
        <f t="shared" si="17"/>
        <v>1.5581914140818491E-2</v>
      </c>
      <c r="N96" s="132">
        <v>2642381</v>
      </c>
      <c r="O96" s="70">
        <f t="shared" si="18"/>
        <v>7.6488078288280886E-2</v>
      </c>
      <c r="P96" s="70">
        <f t="shared" si="19"/>
        <v>1.4689115945009922E-2</v>
      </c>
      <c r="Q96" s="75"/>
    </row>
    <row r="97" spans="1:17">
      <c r="A97" s="65"/>
      <c r="B97" s="115" t="s">
        <v>79</v>
      </c>
      <c r="C97" s="134">
        <v>2642381</v>
      </c>
      <c r="D97" s="70">
        <f t="shared" si="13"/>
        <v>7.7176615741957236E-2</v>
      </c>
      <c r="E97" s="70">
        <f t="shared" si="14"/>
        <v>1.8299037396121882E-2</v>
      </c>
      <c r="F97" s="134">
        <v>2642381</v>
      </c>
      <c r="G97" s="70">
        <f t="shared" si="15"/>
        <v>7.3603353798479279E-2</v>
      </c>
      <c r="H97" s="70">
        <f t="shared" si="21"/>
        <v>1.6529861436927213E-2</v>
      </c>
      <c r="I97" s="61">
        <f t="shared" si="22"/>
        <v>0</v>
      </c>
      <c r="J97" s="60">
        <f t="shared" si="23"/>
        <v>0</v>
      </c>
      <c r="K97" s="134">
        <v>2642381</v>
      </c>
      <c r="L97" s="70">
        <f t="shared" si="16"/>
        <v>7.0884008422454237E-2</v>
      </c>
      <c r="M97" s="70">
        <f t="shared" si="17"/>
        <v>1.5581914140818491E-2</v>
      </c>
      <c r="N97" s="134">
        <v>2642381</v>
      </c>
      <c r="O97" s="70">
        <f t="shared" si="18"/>
        <v>7.6488078288280886E-2</v>
      </c>
      <c r="P97" s="70">
        <f t="shared" si="19"/>
        <v>1.4689115945009922E-2</v>
      </c>
      <c r="Q97" s="75"/>
    </row>
    <row r="98" spans="1:17">
      <c r="A98" s="65"/>
      <c r="B98" s="147" t="s">
        <v>104</v>
      </c>
      <c r="C98" s="132">
        <v>292881</v>
      </c>
      <c r="D98" s="70">
        <f t="shared" si="13"/>
        <v>8.5542411919856294E-3</v>
      </c>
      <c r="E98" s="70">
        <f t="shared" si="14"/>
        <v>2.0282617728531855E-3</v>
      </c>
      <c r="F98" s="132">
        <v>357355</v>
      </c>
      <c r="G98" s="70">
        <f t="shared" si="15"/>
        <v>9.9541006753589133E-3</v>
      </c>
      <c r="H98" s="70">
        <f t="shared" si="21"/>
        <v>2.2354946670420069E-3</v>
      </c>
      <c r="I98" s="61">
        <f t="shared" si="22"/>
        <v>64474</v>
      </c>
      <c r="J98" s="60">
        <f t="shared" si="23"/>
        <v>22.013718882412988</v>
      </c>
      <c r="K98" s="132">
        <v>357355</v>
      </c>
      <c r="L98" s="70">
        <f t="shared" si="16"/>
        <v>9.5863370308090067E-3</v>
      </c>
      <c r="M98" s="70">
        <f t="shared" si="17"/>
        <v>2.1072944922750324E-3</v>
      </c>
      <c r="N98" s="132">
        <v>357355</v>
      </c>
      <c r="O98" s="70">
        <f t="shared" si="18"/>
        <v>1.0344230153300608E-2</v>
      </c>
      <c r="P98" s="70">
        <f t="shared" si="19"/>
        <v>1.9865526691756489E-3</v>
      </c>
      <c r="Q98" s="75"/>
    </row>
    <row r="99" spans="1:17">
      <c r="A99" s="65"/>
      <c r="B99" s="115" t="s">
        <v>79</v>
      </c>
      <c r="C99" s="134">
        <v>292881</v>
      </c>
      <c r="D99" s="70">
        <f t="shared" si="13"/>
        <v>8.5542411919856294E-3</v>
      </c>
      <c r="E99" s="70">
        <f t="shared" si="14"/>
        <v>2.0282617728531855E-3</v>
      </c>
      <c r="F99" s="134">
        <v>357355</v>
      </c>
      <c r="G99" s="70">
        <f t="shared" si="15"/>
        <v>9.9541006753589133E-3</v>
      </c>
      <c r="H99" s="70">
        <f t="shared" si="21"/>
        <v>2.2354946670420069E-3</v>
      </c>
      <c r="I99" s="61">
        <f t="shared" si="22"/>
        <v>64474</v>
      </c>
      <c r="J99" s="60">
        <f t="shared" si="23"/>
        <v>22.013718882412988</v>
      </c>
      <c r="K99" s="134">
        <v>357355</v>
      </c>
      <c r="L99" s="70">
        <f t="shared" si="16"/>
        <v>9.5863370308090067E-3</v>
      </c>
      <c r="M99" s="70">
        <f t="shared" si="17"/>
        <v>2.1072944922750324E-3</v>
      </c>
      <c r="N99" s="134">
        <v>357355</v>
      </c>
      <c r="O99" s="70">
        <f t="shared" si="18"/>
        <v>1.0344230153300608E-2</v>
      </c>
      <c r="P99" s="70">
        <f t="shared" si="19"/>
        <v>1.9865526691756489E-3</v>
      </c>
      <c r="Q99" s="75"/>
    </row>
    <row r="100" spans="1:17">
      <c r="A100" s="65"/>
      <c r="B100" s="139" t="s">
        <v>105</v>
      </c>
      <c r="C100" s="132">
        <v>2931358</v>
      </c>
      <c r="D100" s="70">
        <f t="shared" si="13"/>
        <v>8.5616831928519127E-2</v>
      </c>
      <c r="E100" s="70">
        <f t="shared" si="14"/>
        <v>2.0300263157894734E-2</v>
      </c>
      <c r="F100" s="132">
        <v>3186691</v>
      </c>
      <c r="G100" s="70">
        <f t="shared" si="15"/>
        <v>8.8765074044745901E-2</v>
      </c>
      <c r="H100" s="70">
        <f t="shared" si="21"/>
        <v>1.9934884739294986E-2</v>
      </c>
      <c r="I100" s="61">
        <f t="shared" si="22"/>
        <v>255333</v>
      </c>
      <c r="J100" s="60">
        <f t="shared" si="23"/>
        <v>8.7103997532883994</v>
      </c>
      <c r="K100" s="132">
        <v>3186691</v>
      </c>
      <c r="L100" s="70">
        <f t="shared" si="16"/>
        <v>8.5485564603953443E-2</v>
      </c>
      <c r="M100" s="70">
        <f t="shared" si="17"/>
        <v>1.8791667649486966E-2</v>
      </c>
      <c r="N100" s="132">
        <v>3186691</v>
      </c>
      <c r="O100" s="70">
        <f t="shared" si="18"/>
        <v>9.2244029414592407E-2</v>
      </c>
      <c r="P100" s="70">
        <f t="shared" si="19"/>
        <v>1.7714959947077887E-2</v>
      </c>
      <c r="Q100" s="75"/>
    </row>
    <row r="101" spans="1:17">
      <c r="A101" s="65"/>
      <c r="B101" s="115" t="s">
        <v>79</v>
      </c>
      <c r="C101" s="134">
        <v>2931358</v>
      </c>
      <c r="D101" s="70">
        <f t="shared" si="13"/>
        <v>8.5616831928519127E-2</v>
      </c>
      <c r="E101" s="70">
        <f t="shared" si="14"/>
        <v>2.0300263157894734E-2</v>
      </c>
      <c r="F101" s="134">
        <v>3186691</v>
      </c>
      <c r="G101" s="70">
        <f t="shared" si="15"/>
        <v>8.8765074044745901E-2</v>
      </c>
      <c r="H101" s="70">
        <f t="shared" si="21"/>
        <v>1.9934884739294986E-2</v>
      </c>
      <c r="I101" s="61">
        <f t="shared" si="22"/>
        <v>255333</v>
      </c>
      <c r="J101" s="60">
        <f t="shared" si="23"/>
        <v>8.7103997532883994</v>
      </c>
      <c r="K101" s="134">
        <v>3186691</v>
      </c>
      <c r="L101" s="70">
        <f t="shared" si="16"/>
        <v>8.5485564603953443E-2</v>
      </c>
      <c r="M101" s="70">
        <f t="shared" si="17"/>
        <v>1.8791667649486966E-2</v>
      </c>
      <c r="N101" s="134">
        <v>3186691</v>
      </c>
      <c r="O101" s="70">
        <f t="shared" si="18"/>
        <v>9.2244029414592407E-2</v>
      </c>
      <c r="P101" s="70">
        <f t="shared" si="19"/>
        <v>1.7714959947077887E-2</v>
      </c>
      <c r="Q101" s="75"/>
    </row>
    <row r="102" spans="1:17">
      <c r="A102" s="65"/>
      <c r="B102" s="148" t="s">
        <v>106</v>
      </c>
      <c r="C102" s="132">
        <v>457491514</v>
      </c>
      <c r="D102" s="70">
        <f t="shared" si="13"/>
        <v>13.362057470585903</v>
      </c>
      <c r="E102" s="70">
        <f t="shared" si="14"/>
        <v>3.1682237811634351</v>
      </c>
      <c r="F102" s="132">
        <v>471388054</v>
      </c>
      <c r="G102" s="70">
        <f t="shared" si="15"/>
        <v>13.130484103139803</v>
      </c>
      <c r="H102" s="70">
        <f t="shared" si="21"/>
        <v>2.9488477307559977</v>
      </c>
      <c r="I102" s="61">
        <f t="shared" si="22"/>
        <v>13896540</v>
      </c>
      <c r="J102" s="60">
        <f t="shared" si="23"/>
        <v>3.037551424396483</v>
      </c>
      <c r="K102" s="132">
        <v>474461753</v>
      </c>
      <c r="L102" s="70">
        <f t="shared" si="16"/>
        <v>12.727820437622128</v>
      </c>
      <c r="M102" s="70">
        <f t="shared" si="17"/>
        <v>2.797863857766246</v>
      </c>
      <c r="N102" s="132">
        <v>470381283</v>
      </c>
      <c r="O102" s="70">
        <f t="shared" si="18"/>
        <v>13.615962421560706</v>
      </c>
      <c r="P102" s="70">
        <f t="shared" si="19"/>
        <v>2.6148709078477044</v>
      </c>
      <c r="Q102" s="75"/>
    </row>
    <row r="103" spans="1:17">
      <c r="A103" s="65"/>
      <c r="B103" s="115" t="s">
        <v>79</v>
      </c>
      <c r="C103" s="134">
        <v>446121868</v>
      </c>
      <c r="D103" s="70">
        <f t="shared" si="13"/>
        <v>13.029981664536708</v>
      </c>
      <c r="E103" s="70">
        <f t="shared" si="14"/>
        <v>3.0894866204986151</v>
      </c>
      <c r="F103" s="134">
        <v>467774372</v>
      </c>
      <c r="G103" s="70">
        <f t="shared" si="15"/>
        <v>13.029825222092295</v>
      </c>
      <c r="H103" s="70">
        <f t="shared" si="21"/>
        <v>2.9262417315692346</v>
      </c>
      <c r="I103" s="61">
        <f t="shared" si="22"/>
        <v>21652504</v>
      </c>
      <c r="J103" s="60">
        <f t="shared" si="23"/>
        <v>4.8534953233899643</v>
      </c>
      <c r="K103" s="134">
        <v>474084810</v>
      </c>
      <c r="L103" s="70">
        <f t="shared" si="16"/>
        <v>12.71770863664158</v>
      </c>
      <c r="M103" s="70">
        <f t="shared" si="17"/>
        <v>2.7956410543696188</v>
      </c>
      <c r="N103" s="134">
        <v>470279011</v>
      </c>
      <c r="O103" s="70">
        <f t="shared" si="18"/>
        <v>13.613001989759729</v>
      </c>
      <c r="P103" s="70">
        <f t="shared" si="19"/>
        <v>2.6143023731564816</v>
      </c>
      <c r="Q103" s="75"/>
    </row>
    <row r="104" spans="1:17" s="59" customFormat="1">
      <c r="A104" s="64"/>
      <c r="B104" s="120" t="s">
        <v>80</v>
      </c>
      <c r="C104" s="136">
        <v>11369646</v>
      </c>
      <c r="D104" s="70">
        <f t="shared" si="13"/>
        <v>0.33207580604919623</v>
      </c>
      <c r="E104" s="70">
        <f t="shared" si="14"/>
        <v>7.8737160664819936E-2</v>
      </c>
      <c r="F104" s="136">
        <v>3613682</v>
      </c>
      <c r="G104" s="70">
        <f t="shared" si="15"/>
        <v>0.10065888104750836</v>
      </c>
      <c r="H104" s="70">
        <f t="shared" si="21"/>
        <v>2.2605999186763003E-2</v>
      </c>
      <c r="I104" s="61">
        <f t="shared" si="22"/>
        <v>-7755964</v>
      </c>
      <c r="J104" s="60">
        <f t="shared" si="23"/>
        <v>-68.216407089543509</v>
      </c>
      <c r="K104" s="136">
        <v>376943</v>
      </c>
      <c r="L104" s="70">
        <f t="shared" si="16"/>
        <v>1.0111800980549424E-2</v>
      </c>
      <c r="M104" s="70">
        <f t="shared" si="17"/>
        <v>2.2228033966269606E-3</v>
      </c>
      <c r="N104" s="136">
        <v>102272</v>
      </c>
      <c r="O104" s="70">
        <f t="shared" si="18"/>
        <v>2.9604318009776266E-3</v>
      </c>
      <c r="P104" s="70">
        <f t="shared" si="19"/>
        <v>5.6853469122282322E-4</v>
      </c>
      <c r="Q104" s="75"/>
    </row>
    <row r="105" spans="1:17" s="59" customFormat="1" ht="26.25">
      <c r="A105" s="64"/>
      <c r="B105" s="122" t="s">
        <v>44</v>
      </c>
      <c r="C105" s="149"/>
      <c r="D105" s="70">
        <f t="shared" si="13"/>
        <v>0</v>
      </c>
      <c r="E105" s="70">
        <f t="shared" si="14"/>
        <v>0</v>
      </c>
      <c r="F105" s="149">
        <v>126869</v>
      </c>
      <c r="G105" s="70">
        <f t="shared" si="15"/>
        <v>3.5339278828674845E-3</v>
      </c>
      <c r="H105" s="70"/>
      <c r="I105" s="61">
        <f t="shared" si="22"/>
        <v>126869</v>
      </c>
      <c r="J105" s="60"/>
      <c r="K105" s="149">
        <v>19723</v>
      </c>
      <c r="L105" s="70">
        <f t="shared" si="16"/>
        <v>5.2908543397642684E-4</v>
      </c>
      <c r="M105" s="70">
        <f t="shared" si="17"/>
        <v>1.1630498879584857E-4</v>
      </c>
      <c r="N105" s="149"/>
      <c r="O105" s="70">
        <f t="shared" si="18"/>
        <v>0</v>
      </c>
      <c r="P105" s="70">
        <f t="shared" si="19"/>
        <v>0</v>
      </c>
      <c r="Q105" s="75"/>
    </row>
    <row r="106" spans="1:17" ht="26.25">
      <c r="A106" s="65"/>
      <c r="B106" s="140" t="s">
        <v>43</v>
      </c>
      <c r="C106" s="143"/>
      <c r="D106" s="70">
        <f t="shared" si="13"/>
        <v>0</v>
      </c>
      <c r="E106" s="70">
        <f t="shared" si="14"/>
        <v>0</v>
      </c>
      <c r="F106" s="143"/>
      <c r="G106" s="70">
        <f t="shared" si="15"/>
        <v>0</v>
      </c>
      <c r="H106" s="70">
        <f>F106/$F$135/1000000*100</f>
        <v>0</v>
      </c>
      <c r="I106" s="61">
        <f t="shared" si="22"/>
        <v>0</v>
      </c>
      <c r="J106" s="60"/>
      <c r="K106" s="143"/>
      <c r="L106" s="70">
        <f t="shared" si="16"/>
        <v>0</v>
      </c>
      <c r="M106" s="70">
        <f t="shared" si="17"/>
        <v>0</v>
      </c>
      <c r="N106" s="143"/>
      <c r="O106" s="70">
        <f t="shared" si="18"/>
        <v>0</v>
      </c>
      <c r="P106" s="70">
        <f t="shared" si="19"/>
        <v>0</v>
      </c>
      <c r="Q106" s="75"/>
    </row>
    <row r="107" spans="1:17">
      <c r="A107" s="65"/>
      <c r="B107" s="139" t="s">
        <v>107</v>
      </c>
      <c r="C107" s="132">
        <v>748148</v>
      </c>
      <c r="D107" s="70">
        <f t="shared" si="13"/>
        <v>2.1851326782214155E-2</v>
      </c>
      <c r="E107" s="70">
        <f t="shared" si="14"/>
        <v>5.1810803324099722E-3</v>
      </c>
      <c r="F107" s="132">
        <v>775808</v>
      </c>
      <c r="G107" s="70">
        <f t="shared" si="15"/>
        <v>2.1610082234049748E-2</v>
      </c>
      <c r="H107" s="70">
        <f>F107/$F$135/1000000*100</f>
        <v>4.8531982108786084E-3</v>
      </c>
      <c r="I107" s="61">
        <f t="shared" si="22"/>
        <v>27660</v>
      </c>
      <c r="J107" s="60">
        <f t="shared" si="23"/>
        <v>3.6971294449761274</v>
      </c>
      <c r="K107" s="132">
        <v>780348</v>
      </c>
      <c r="L107" s="70">
        <f t="shared" si="16"/>
        <v>2.0933466522975043E-2</v>
      </c>
      <c r="M107" s="70">
        <f t="shared" si="17"/>
        <v>4.6016511381059087E-3</v>
      </c>
      <c r="N107" s="132">
        <v>758348</v>
      </c>
      <c r="O107" s="70">
        <f t="shared" si="18"/>
        <v>2.1951634224497234E-2</v>
      </c>
      <c r="P107" s="70">
        <f t="shared" si="19"/>
        <v>4.2156909615480827E-3</v>
      </c>
      <c r="Q107" s="75"/>
    </row>
    <row r="108" spans="1:17">
      <c r="A108" s="65"/>
      <c r="B108" s="115" t="s">
        <v>79</v>
      </c>
      <c r="C108" s="134">
        <v>748148</v>
      </c>
      <c r="D108" s="70">
        <f t="shared" si="13"/>
        <v>2.1851326782214155E-2</v>
      </c>
      <c r="E108" s="70">
        <f t="shared" si="14"/>
        <v>5.1810803324099722E-3</v>
      </c>
      <c r="F108" s="134">
        <v>775808</v>
      </c>
      <c r="G108" s="70">
        <f t="shared" si="15"/>
        <v>2.1610082234049748E-2</v>
      </c>
      <c r="H108" s="70">
        <f>F108/$F$135/1000000*100</f>
        <v>4.8531982108786084E-3</v>
      </c>
      <c r="I108" s="61">
        <f t="shared" si="22"/>
        <v>27660</v>
      </c>
      <c r="J108" s="60">
        <f t="shared" si="23"/>
        <v>3.6971294449761274</v>
      </c>
      <c r="K108" s="134">
        <v>780348</v>
      </c>
      <c r="L108" s="70">
        <f t="shared" si="16"/>
        <v>2.0933466522975043E-2</v>
      </c>
      <c r="M108" s="70">
        <f t="shared" si="17"/>
        <v>4.6016511381059087E-3</v>
      </c>
      <c r="N108" s="134">
        <v>758348</v>
      </c>
      <c r="O108" s="70">
        <f t="shared" si="18"/>
        <v>2.1951634224497234E-2</v>
      </c>
      <c r="P108" s="70">
        <f t="shared" si="19"/>
        <v>4.2156909615480827E-3</v>
      </c>
      <c r="Q108" s="75"/>
    </row>
    <row r="109" spans="1:17">
      <c r="A109" s="65"/>
      <c r="B109" s="138" t="s">
        <v>108</v>
      </c>
      <c r="C109" s="132">
        <v>14334134</v>
      </c>
      <c r="D109" s="70">
        <f t="shared" si="13"/>
        <v>0.41866027333368072</v>
      </c>
      <c r="E109" s="70">
        <f t="shared" si="14"/>
        <v>9.9266855955678662E-2</v>
      </c>
      <c r="F109" s="132">
        <v>14517394</v>
      </c>
      <c r="G109" s="70">
        <f t="shared" si="15"/>
        <v>0.40438108161310587</v>
      </c>
      <c r="H109" s="70"/>
      <c r="I109" s="61">
        <f t="shared" si="22"/>
        <v>183260</v>
      </c>
      <c r="J109" s="60">
        <f t="shared" si="23"/>
        <v>1.2784867226719001</v>
      </c>
      <c r="K109" s="132">
        <v>14517394</v>
      </c>
      <c r="L109" s="70">
        <f t="shared" si="16"/>
        <v>0.38944084088104119</v>
      </c>
      <c r="M109" s="70">
        <f t="shared" si="17"/>
        <v>8.5607937256751976E-2</v>
      </c>
      <c r="N109" s="132">
        <v>14517394</v>
      </c>
      <c r="O109" s="70">
        <f t="shared" si="18"/>
        <v>0.42022992475870025</v>
      </c>
      <c r="P109" s="70">
        <f t="shared" si="19"/>
        <v>8.0702852346195106E-2</v>
      </c>
      <c r="Q109" s="75"/>
    </row>
    <row r="110" spans="1:17">
      <c r="A110" s="65"/>
      <c r="B110" s="115" t="s">
        <v>79</v>
      </c>
      <c r="C110" s="134">
        <v>14334134</v>
      </c>
      <c r="D110" s="70">
        <f t="shared" si="13"/>
        <v>0.41866027333368072</v>
      </c>
      <c r="E110" s="70">
        <f t="shared" si="14"/>
        <v>9.9266855955678662E-2</v>
      </c>
      <c r="F110" s="134">
        <v>14517394</v>
      </c>
      <c r="G110" s="70">
        <f t="shared" si="15"/>
        <v>0.40438108161310587</v>
      </c>
      <c r="H110" s="70">
        <f>F110/$F$135/1000000*100</f>
        <v>9.0816014513152549E-2</v>
      </c>
      <c r="I110" s="61">
        <f t="shared" si="22"/>
        <v>183260</v>
      </c>
      <c r="J110" s="60">
        <f t="shared" si="23"/>
        <v>1.2784867226719001</v>
      </c>
      <c r="K110" s="134">
        <v>14517394</v>
      </c>
      <c r="L110" s="70">
        <f t="shared" si="16"/>
        <v>0.38944084088104119</v>
      </c>
      <c r="M110" s="70">
        <f t="shared" si="17"/>
        <v>8.5607937256751976E-2</v>
      </c>
      <c r="N110" s="134">
        <v>14517394</v>
      </c>
      <c r="O110" s="70">
        <f t="shared" si="18"/>
        <v>0.42022992475870025</v>
      </c>
      <c r="P110" s="70">
        <f t="shared" si="19"/>
        <v>8.0702852346195106E-2</v>
      </c>
      <c r="Q110" s="75"/>
    </row>
    <row r="111" spans="1:17">
      <c r="A111" s="65"/>
      <c r="B111" s="138" t="s">
        <v>109</v>
      </c>
      <c r="C111" s="132">
        <v>261076</v>
      </c>
      <c r="D111" s="70">
        <f t="shared" si="13"/>
        <v>7.6253054088139555E-3</v>
      </c>
      <c r="E111" s="70">
        <f t="shared" si="14"/>
        <v>1.8080055401662051E-3</v>
      </c>
      <c r="F111" s="132">
        <v>530470</v>
      </c>
      <c r="G111" s="70">
        <f t="shared" si="15"/>
        <v>1.4776207931210261E-2</v>
      </c>
      <c r="H111" s="70">
        <f>F111/$F$135/1000000*100</f>
        <v>3.3184448406368269E-3</v>
      </c>
      <c r="I111" s="61">
        <f t="shared" si="22"/>
        <v>269394</v>
      </c>
      <c r="J111" s="60">
        <f t="shared" si="23"/>
        <v>103.18604544270636</v>
      </c>
      <c r="K111" s="132">
        <v>4241923</v>
      </c>
      <c r="L111" s="70">
        <f t="shared" si="16"/>
        <v>0.11379301685086379</v>
      </c>
      <c r="M111" s="70">
        <f t="shared" si="17"/>
        <v>2.5014288241537917E-2</v>
      </c>
      <c r="N111" s="132">
        <v>276409</v>
      </c>
      <c r="O111" s="70">
        <f t="shared" si="18"/>
        <v>8.001114612762289E-3</v>
      </c>
      <c r="P111" s="70">
        <f t="shared" si="19"/>
        <v>1.5365701801686616E-3</v>
      </c>
      <c r="Q111" s="75"/>
    </row>
    <row r="112" spans="1:17">
      <c r="A112" s="65"/>
      <c r="B112" s="115" t="s">
        <v>79</v>
      </c>
      <c r="C112" s="134">
        <v>261076</v>
      </c>
      <c r="D112" s="70">
        <f t="shared" si="13"/>
        <v>7.6253054088139555E-3</v>
      </c>
      <c r="E112" s="70">
        <f t="shared" si="14"/>
        <v>1.8080055401662051E-3</v>
      </c>
      <c r="F112" s="134">
        <v>530470</v>
      </c>
      <c r="G112" s="70">
        <f t="shared" si="15"/>
        <v>1.4776207931210261E-2</v>
      </c>
      <c r="H112" s="70">
        <f>F112/$F$135/1000000*100</f>
        <v>3.3184448406368269E-3</v>
      </c>
      <c r="I112" s="61">
        <f t="shared" si="22"/>
        <v>269394</v>
      </c>
      <c r="J112" s="60">
        <f t="shared" si="23"/>
        <v>103.18604544270636</v>
      </c>
      <c r="K112" s="134">
        <v>4241923</v>
      </c>
      <c r="L112" s="70">
        <f t="shared" si="16"/>
        <v>0.11379301685086379</v>
      </c>
      <c r="M112" s="70">
        <f t="shared" si="17"/>
        <v>2.5014288241537917E-2</v>
      </c>
      <c r="N112" s="134">
        <v>276409</v>
      </c>
      <c r="O112" s="70">
        <f t="shared" si="18"/>
        <v>8.001114612762289E-3</v>
      </c>
      <c r="P112" s="70">
        <f t="shared" si="19"/>
        <v>1.5365701801686616E-3</v>
      </c>
      <c r="Q112" s="75"/>
    </row>
    <row r="113" spans="1:17">
      <c r="A113" s="65"/>
      <c r="B113" s="139" t="s">
        <v>110</v>
      </c>
      <c r="C113" s="132">
        <v>71265</v>
      </c>
      <c r="D113" s="70">
        <f t="shared" si="13"/>
        <v>2.0814528718040974E-3</v>
      </c>
      <c r="E113" s="70">
        <f t="shared" si="14"/>
        <v>4.9352493074792238E-4</v>
      </c>
      <c r="F113" s="132">
        <v>71265</v>
      </c>
      <c r="G113" s="70">
        <f t="shared" si="15"/>
        <v>1.9850820182436314E-3</v>
      </c>
      <c r="H113" s="70">
        <f>F113/$F$135/1000000*100</f>
        <v>4.4581026555315758E-4</v>
      </c>
      <c r="I113" s="61">
        <f t="shared" si="22"/>
        <v>0</v>
      </c>
      <c r="J113" s="60">
        <f t="shared" si="23"/>
        <v>0</v>
      </c>
      <c r="K113" s="132">
        <v>71265</v>
      </c>
      <c r="L113" s="70">
        <f t="shared" si="16"/>
        <v>1.911741289475742E-3</v>
      </c>
      <c r="M113" s="70">
        <f t="shared" si="17"/>
        <v>4.2024413256280222E-4</v>
      </c>
      <c r="N113" s="132">
        <v>71265</v>
      </c>
      <c r="O113" s="70">
        <f t="shared" si="18"/>
        <v>2.0628830207355931E-3</v>
      </c>
      <c r="P113" s="70">
        <f t="shared" si="19"/>
        <v>3.9616537048258073E-4</v>
      </c>
      <c r="Q113" s="75"/>
    </row>
    <row r="114" spans="1:17">
      <c r="A114" s="65"/>
      <c r="B114" s="115" t="s">
        <v>79</v>
      </c>
      <c r="C114" s="134">
        <v>71265</v>
      </c>
      <c r="D114" s="70">
        <f t="shared" si="13"/>
        <v>2.0814528718040974E-3</v>
      </c>
      <c r="E114" s="70">
        <f t="shared" si="14"/>
        <v>4.9352493074792238E-4</v>
      </c>
      <c r="F114" s="134">
        <v>71265</v>
      </c>
      <c r="G114" s="70">
        <f t="shared" si="15"/>
        <v>1.9850820182436314E-3</v>
      </c>
      <c r="H114" s="70"/>
      <c r="I114" s="61">
        <f t="shared" si="22"/>
        <v>0</v>
      </c>
      <c r="J114" s="60">
        <f t="shared" si="23"/>
        <v>0</v>
      </c>
      <c r="K114" s="134">
        <v>71265</v>
      </c>
      <c r="L114" s="70">
        <f t="shared" si="16"/>
        <v>1.911741289475742E-3</v>
      </c>
      <c r="M114" s="70">
        <f t="shared" si="17"/>
        <v>4.2024413256280222E-4</v>
      </c>
      <c r="N114" s="134">
        <v>71265</v>
      </c>
      <c r="O114" s="70">
        <f t="shared" si="18"/>
        <v>2.0628830207355931E-3</v>
      </c>
      <c r="P114" s="70">
        <f t="shared" si="19"/>
        <v>3.9616537048258073E-4</v>
      </c>
      <c r="Q114" s="75"/>
    </row>
    <row r="115" spans="1:17">
      <c r="A115" s="65"/>
      <c r="B115" s="139" t="s">
        <v>111</v>
      </c>
      <c r="C115" s="132">
        <v>11445616</v>
      </c>
      <c r="D115" s="70">
        <f t="shared" si="13"/>
        <v>0.33429467891344877</v>
      </c>
      <c r="E115" s="70">
        <f t="shared" si="14"/>
        <v>7.926326869806094E-2</v>
      </c>
      <c r="F115" s="132">
        <v>12975815</v>
      </c>
      <c r="G115" s="70">
        <f t="shared" si="15"/>
        <v>0.3614404971382304</v>
      </c>
      <c r="H115" s="70">
        <f t="shared" ref="H115:H127" si="24">F115/$F$135/1000000*100</f>
        <v>8.1172406243157871E-2</v>
      </c>
      <c r="I115" s="61">
        <f t="shared" si="22"/>
        <v>1530199</v>
      </c>
      <c r="J115" s="60">
        <f t="shared" si="23"/>
        <v>13.369302272590659</v>
      </c>
      <c r="K115" s="132">
        <v>13647727</v>
      </c>
      <c r="L115" s="70">
        <f t="shared" si="16"/>
        <v>0.36611131991009471</v>
      </c>
      <c r="M115" s="70">
        <f t="shared" si="17"/>
        <v>8.0479578959782999E-2</v>
      </c>
      <c r="N115" s="132">
        <v>12739824</v>
      </c>
      <c r="O115" s="70">
        <f t="shared" si="18"/>
        <v>0.36877522790654327</v>
      </c>
      <c r="P115" s="70">
        <f t="shared" si="19"/>
        <v>7.0821260013230525E-2</v>
      </c>
      <c r="Q115" s="75"/>
    </row>
    <row r="116" spans="1:17">
      <c r="A116" s="65"/>
      <c r="B116" s="115" t="s">
        <v>79</v>
      </c>
      <c r="C116" s="134">
        <v>11445616</v>
      </c>
      <c r="D116" s="70">
        <f t="shared" si="13"/>
        <v>0.33429467891344877</v>
      </c>
      <c r="E116" s="70">
        <f t="shared" si="14"/>
        <v>7.926326869806094E-2</v>
      </c>
      <c r="F116" s="134">
        <v>12975815</v>
      </c>
      <c r="G116" s="70">
        <f t="shared" si="15"/>
        <v>0.3614404971382304</v>
      </c>
      <c r="H116" s="70">
        <f t="shared" si="24"/>
        <v>8.1172406243157871E-2</v>
      </c>
      <c r="I116" s="61">
        <f t="shared" si="22"/>
        <v>1530199</v>
      </c>
      <c r="J116" s="60">
        <f t="shared" si="23"/>
        <v>13.369302272590659</v>
      </c>
      <c r="K116" s="134">
        <v>13647727</v>
      </c>
      <c r="L116" s="70">
        <f t="shared" si="16"/>
        <v>0.36611131991009471</v>
      </c>
      <c r="M116" s="70">
        <f t="shared" si="17"/>
        <v>8.0479578959782999E-2</v>
      </c>
      <c r="N116" s="134">
        <v>12739824</v>
      </c>
      <c r="O116" s="70">
        <f t="shared" si="18"/>
        <v>0.36877522790654327</v>
      </c>
      <c r="P116" s="70">
        <f t="shared" si="19"/>
        <v>7.0821260013230525E-2</v>
      </c>
      <c r="Q116" s="75"/>
    </row>
    <row r="117" spans="1:17">
      <c r="A117" s="65"/>
      <c r="B117" s="139" t="s">
        <v>112</v>
      </c>
      <c r="C117" s="132">
        <v>210694805</v>
      </c>
      <c r="D117" s="70">
        <f t="shared" si="13"/>
        <v>6.1538105232786684</v>
      </c>
      <c r="E117" s="70">
        <f t="shared" si="14"/>
        <v>1.4591052977839336</v>
      </c>
      <c r="F117" s="132">
        <v>215869700</v>
      </c>
      <c r="G117" s="70">
        <f t="shared" si="15"/>
        <v>6.0130366905724726</v>
      </c>
      <c r="H117" s="70">
        <f t="shared" si="24"/>
        <v>1.3504094335491541</v>
      </c>
      <c r="I117" s="61">
        <f t="shared" si="22"/>
        <v>5174895</v>
      </c>
      <c r="J117" s="60">
        <f t="shared" si="23"/>
        <v>2.4561094422807344</v>
      </c>
      <c r="K117" s="132">
        <v>222429700</v>
      </c>
      <c r="L117" s="70">
        <f t="shared" si="16"/>
        <v>5.9668566827433169</v>
      </c>
      <c r="M117" s="70">
        <f t="shared" si="17"/>
        <v>1.3116505484137282</v>
      </c>
      <c r="N117" s="132">
        <v>222429700</v>
      </c>
      <c r="O117" s="70">
        <f t="shared" si="18"/>
        <v>6.4385947019899206</v>
      </c>
      <c r="P117" s="70">
        <f t="shared" si="19"/>
        <v>1.2364968007693717</v>
      </c>
      <c r="Q117" s="75"/>
    </row>
    <row r="118" spans="1:17">
      <c r="A118" s="65"/>
      <c r="B118" s="115" t="s">
        <v>79</v>
      </c>
      <c r="C118" s="134">
        <v>210694805</v>
      </c>
      <c r="D118" s="70">
        <f t="shared" si="13"/>
        <v>6.1538105232786684</v>
      </c>
      <c r="E118" s="70">
        <f t="shared" si="14"/>
        <v>1.4591052977839336</v>
      </c>
      <c r="F118" s="134">
        <v>215869700</v>
      </c>
      <c r="G118" s="70">
        <f t="shared" si="15"/>
        <v>6.0130366905724726</v>
      </c>
      <c r="H118" s="70">
        <f t="shared" si="24"/>
        <v>1.3504094335491541</v>
      </c>
      <c r="I118" s="61">
        <f t="shared" si="22"/>
        <v>5174895</v>
      </c>
      <c r="J118" s="60">
        <f t="shared" si="23"/>
        <v>2.4561094422807344</v>
      </c>
      <c r="K118" s="134">
        <v>222429700</v>
      </c>
      <c r="L118" s="70">
        <f t="shared" si="16"/>
        <v>5.9668566827433169</v>
      </c>
      <c r="M118" s="70">
        <f t="shared" si="17"/>
        <v>1.3116505484137282</v>
      </c>
      <c r="N118" s="134">
        <v>222429700</v>
      </c>
      <c r="O118" s="70">
        <f t="shared" si="18"/>
        <v>6.4385947019899206</v>
      </c>
      <c r="P118" s="70">
        <f t="shared" si="19"/>
        <v>1.2364968007693717</v>
      </c>
      <c r="Q118" s="75"/>
    </row>
    <row r="119" spans="1:17">
      <c r="A119" s="63"/>
      <c r="B119" s="139" t="s">
        <v>113</v>
      </c>
      <c r="C119" s="132">
        <v>15491371</v>
      </c>
      <c r="D119" s="70">
        <f t="shared" si="13"/>
        <v>0.45245995448162091</v>
      </c>
      <c r="E119" s="70">
        <f t="shared" si="14"/>
        <v>0.10728096260387811</v>
      </c>
      <c r="F119" s="132">
        <v>15491371</v>
      </c>
      <c r="G119" s="70">
        <f t="shared" si="15"/>
        <v>0.43151114867102874</v>
      </c>
      <c r="H119" s="70">
        <f t="shared" si="24"/>
        <v>9.6908892433768101E-2</v>
      </c>
      <c r="I119" s="61">
        <f t="shared" si="22"/>
        <v>0</v>
      </c>
      <c r="J119" s="60">
        <f t="shared" si="23"/>
        <v>0</v>
      </c>
      <c r="K119" s="132">
        <v>9777097</v>
      </c>
      <c r="L119" s="70">
        <f t="shared" si="16"/>
        <v>0.26227853821805108</v>
      </c>
      <c r="M119" s="70">
        <f t="shared" si="17"/>
        <v>5.7654776506663521E-2</v>
      </c>
      <c r="N119" s="132">
        <v>9777097</v>
      </c>
      <c r="O119" s="70">
        <f t="shared" si="18"/>
        <v>0.28301420603921845</v>
      </c>
      <c r="P119" s="70">
        <f t="shared" si="19"/>
        <v>5.4351326110280346E-2</v>
      </c>
      <c r="Q119" s="75"/>
    </row>
    <row r="120" spans="1:17" s="59" customFormat="1">
      <c r="A120" s="63"/>
      <c r="B120" s="115" t="s">
        <v>79</v>
      </c>
      <c r="C120" s="134">
        <v>15491371</v>
      </c>
      <c r="D120" s="70">
        <f t="shared" si="13"/>
        <v>0.45245995448162091</v>
      </c>
      <c r="E120" s="70">
        <f t="shared" si="14"/>
        <v>0.10728096260387811</v>
      </c>
      <c r="F120" s="134">
        <v>15491371</v>
      </c>
      <c r="G120" s="70">
        <f t="shared" si="15"/>
        <v>0.43151114867102874</v>
      </c>
      <c r="H120" s="70">
        <f t="shared" si="24"/>
        <v>9.6908892433768101E-2</v>
      </c>
      <c r="I120" s="61">
        <f t="shared" si="22"/>
        <v>0</v>
      </c>
      <c r="J120" s="60">
        <f t="shared" si="23"/>
        <v>0</v>
      </c>
      <c r="K120" s="134">
        <v>9777097</v>
      </c>
      <c r="L120" s="70">
        <f t="shared" si="16"/>
        <v>0.26227853821805108</v>
      </c>
      <c r="M120" s="70">
        <f t="shared" si="17"/>
        <v>5.7654776506663521E-2</v>
      </c>
      <c r="N120" s="134">
        <v>9777097</v>
      </c>
      <c r="O120" s="70">
        <f t="shared" si="18"/>
        <v>0.28301420603921845</v>
      </c>
      <c r="P120" s="70">
        <f t="shared" si="19"/>
        <v>5.4351326110280346E-2</v>
      </c>
      <c r="Q120" s="75"/>
    </row>
    <row r="121" spans="1:17" ht="26.25">
      <c r="A121" s="63"/>
      <c r="B121" s="139" t="s">
        <v>114</v>
      </c>
      <c r="C121" s="132">
        <v>106523451</v>
      </c>
      <c r="D121" s="70">
        <f t="shared" si="13"/>
        <v>3.1112543744956578</v>
      </c>
      <c r="E121" s="70">
        <f t="shared" si="14"/>
        <v>0.73769702908587265</v>
      </c>
      <c r="F121" s="132">
        <v>74292455</v>
      </c>
      <c r="G121" s="70">
        <f t="shared" si="15"/>
        <v>2.0694115836900888</v>
      </c>
      <c r="H121" s="70">
        <f t="shared" si="24"/>
        <v>0.46474902255168749</v>
      </c>
      <c r="I121" s="61">
        <f t="shared" si="22"/>
        <v>-32230996</v>
      </c>
      <c r="J121" s="60">
        <f t="shared" si="23"/>
        <v>-30.257183462822653</v>
      </c>
      <c r="K121" s="132">
        <v>642906567</v>
      </c>
      <c r="L121" s="70">
        <f t="shared" si="16"/>
        <v>17.246488871241176</v>
      </c>
      <c r="M121" s="70">
        <f t="shared" si="17"/>
        <v>3.791169754688053</v>
      </c>
      <c r="N121" s="132">
        <v>734014986</v>
      </c>
      <c r="O121" s="70">
        <f t="shared" si="18"/>
        <v>21.24727498189678</v>
      </c>
      <c r="P121" s="70">
        <f t="shared" si="19"/>
        <v>4.0804226319856358</v>
      </c>
      <c r="Q121" s="75"/>
    </row>
    <row r="122" spans="1:17">
      <c r="A122" s="63"/>
      <c r="B122" s="115" t="s">
        <v>79</v>
      </c>
      <c r="C122" s="134">
        <v>17683386</v>
      </c>
      <c r="D122" s="70">
        <f t="shared" si="13"/>
        <v>0.51648262924184907</v>
      </c>
      <c r="E122" s="70">
        <f t="shared" si="14"/>
        <v>0.1224611218836565</v>
      </c>
      <c r="F122" s="134">
        <v>23785389</v>
      </c>
      <c r="G122" s="70">
        <f t="shared" si="15"/>
        <v>0.66254048973310697</v>
      </c>
      <c r="H122" s="70">
        <f t="shared" si="24"/>
        <v>0.14879352538237778</v>
      </c>
      <c r="I122" s="61">
        <f t="shared" si="22"/>
        <v>6102003</v>
      </c>
      <c r="J122" s="60">
        <f t="shared" si="23"/>
        <v>34.506982995225002</v>
      </c>
      <c r="K122" s="134">
        <v>47031271</v>
      </c>
      <c r="L122" s="70">
        <f t="shared" si="16"/>
        <v>1.2616519001925639</v>
      </c>
      <c r="M122" s="70">
        <f t="shared" si="17"/>
        <v>0.27733972756221253</v>
      </c>
      <c r="N122" s="134">
        <v>55010757</v>
      </c>
      <c r="O122" s="70">
        <f t="shared" si="18"/>
        <v>1.5923771356642344</v>
      </c>
      <c r="P122" s="70">
        <f t="shared" si="19"/>
        <v>0.30580729569118392</v>
      </c>
      <c r="Q122" s="75"/>
    </row>
    <row r="123" spans="1:17">
      <c r="A123" s="63"/>
      <c r="B123" s="115" t="s">
        <v>115</v>
      </c>
      <c r="C123" s="134">
        <v>1500000</v>
      </c>
      <c r="D123" s="70">
        <f t="shared" si="13"/>
        <v>4.3810837124902073E-2</v>
      </c>
      <c r="E123" s="70">
        <f t="shared" si="14"/>
        <v>1.038781163434903E-2</v>
      </c>
      <c r="F123" s="134"/>
      <c r="G123" s="70">
        <f t="shared" si="15"/>
        <v>0</v>
      </c>
      <c r="H123" s="70">
        <f t="shared" si="24"/>
        <v>0</v>
      </c>
      <c r="I123" s="61">
        <f t="shared" si="22"/>
        <v>-1500000</v>
      </c>
      <c r="J123" s="60">
        <f t="shared" si="23"/>
        <v>-100</v>
      </c>
      <c r="K123" s="134"/>
      <c r="L123" s="70">
        <f t="shared" si="16"/>
        <v>0</v>
      </c>
      <c r="M123" s="70">
        <f t="shared" si="17"/>
        <v>0</v>
      </c>
      <c r="N123" s="134"/>
      <c r="O123" s="70">
        <f t="shared" si="18"/>
        <v>0</v>
      </c>
      <c r="P123" s="70">
        <f t="shared" si="19"/>
        <v>0</v>
      </c>
      <c r="Q123" s="75"/>
    </row>
    <row r="124" spans="1:17">
      <c r="A124" s="63"/>
      <c r="B124" s="115" t="s">
        <v>116</v>
      </c>
      <c r="C124" s="134">
        <v>16183386</v>
      </c>
      <c r="D124" s="70">
        <f t="shared" si="13"/>
        <v>0.47267179211694699</v>
      </c>
      <c r="E124" s="70">
        <f t="shared" si="14"/>
        <v>0.11207331024930746</v>
      </c>
      <c r="F124" s="134"/>
      <c r="G124" s="70">
        <f t="shared" si="15"/>
        <v>0</v>
      </c>
      <c r="H124" s="70">
        <f t="shared" si="24"/>
        <v>0</v>
      </c>
      <c r="I124" s="61">
        <f t="shared" si="22"/>
        <v>-16183386</v>
      </c>
      <c r="J124" s="60">
        <f t="shared" si="23"/>
        <v>-100</v>
      </c>
      <c r="K124" s="134"/>
      <c r="L124" s="70">
        <f t="shared" si="16"/>
        <v>0</v>
      </c>
      <c r="M124" s="70">
        <f t="shared" si="17"/>
        <v>0</v>
      </c>
      <c r="N124" s="134"/>
      <c r="O124" s="70">
        <f t="shared" si="18"/>
        <v>0</v>
      </c>
      <c r="P124" s="70">
        <f t="shared" si="19"/>
        <v>0</v>
      </c>
      <c r="Q124" s="75"/>
    </row>
    <row r="125" spans="1:17" ht="27">
      <c r="A125" s="63"/>
      <c r="B125" s="115" t="s">
        <v>117</v>
      </c>
      <c r="C125" s="134">
        <v>0</v>
      </c>
      <c r="D125" s="70">
        <f t="shared" si="13"/>
        <v>0</v>
      </c>
      <c r="E125" s="70">
        <f t="shared" si="14"/>
        <v>0</v>
      </c>
      <c r="F125" s="134"/>
      <c r="G125" s="70">
        <f t="shared" si="15"/>
        <v>0</v>
      </c>
      <c r="H125" s="70">
        <f t="shared" si="24"/>
        <v>0</v>
      </c>
      <c r="I125" s="61">
        <f t="shared" si="22"/>
        <v>0</v>
      </c>
      <c r="J125" s="60"/>
      <c r="K125" s="134"/>
      <c r="L125" s="70">
        <f t="shared" si="16"/>
        <v>0</v>
      </c>
      <c r="M125" s="70">
        <f t="shared" si="17"/>
        <v>0</v>
      </c>
      <c r="N125" s="134"/>
      <c r="O125" s="70">
        <f t="shared" si="18"/>
        <v>0</v>
      </c>
      <c r="P125" s="70">
        <f t="shared" si="19"/>
        <v>0</v>
      </c>
      <c r="Q125" s="75"/>
    </row>
    <row r="126" spans="1:17">
      <c r="A126" s="63"/>
      <c r="B126" s="115" t="s">
        <v>118</v>
      </c>
      <c r="C126" s="134"/>
      <c r="D126" s="70">
        <f t="shared" si="13"/>
        <v>0</v>
      </c>
      <c r="E126" s="70">
        <f t="shared" si="14"/>
        <v>0</v>
      </c>
      <c r="F126" s="134"/>
      <c r="G126" s="70">
        <f t="shared" si="15"/>
        <v>0</v>
      </c>
      <c r="H126" s="70">
        <f t="shared" si="24"/>
        <v>0</v>
      </c>
      <c r="I126" s="61">
        <f t="shared" si="22"/>
        <v>0</v>
      </c>
      <c r="J126" s="60"/>
      <c r="K126" s="134"/>
      <c r="L126" s="70">
        <f t="shared" si="16"/>
        <v>0</v>
      </c>
      <c r="M126" s="70">
        <f t="shared" si="17"/>
        <v>0</v>
      </c>
      <c r="N126" s="134"/>
      <c r="O126" s="70">
        <f t="shared" si="18"/>
        <v>0</v>
      </c>
      <c r="P126" s="70">
        <f t="shared" si="19"/>
        <v>0</v>
      </c>
      <c r="Q126" s="75"/>
    </row>
    <row r="127" spans="1:17">
      <c r="A127" s="63"/>
      <c r="B127" s="120" t="s">
        <v>80</v>
      </c>
      <c r="C127" s="136">
        <v>88840065</v>
      </c>
      <c r="D127" s="70">
        <f t="shared" si="13"/>
        <v>2.594771745253809</v>
      </c>
      <c r="E127" s="70">
        <f t="shared" si="14"/>
        <v>0.6152359072022161</v>
      </c>
      <c r="F127" s="136">
        <v>50507066</v>
      </c>
      <c r="G127" s="70">
        <f t="shared" si="15"/>
        <v>1.4068710939569817</v>
      </c>
      <c r="H127" s="70">
        <f t="shared" si="24"/>
        <v>0.31595549716930971</v>
      </c>
      <c r="I127" s="61">
        <f t="shared" si="22"/>
        <v>-38332999</v>
      </c>
      <c r="J127" s="60">
        <f t="shared" si="23"/>
        <v>-43.148323900933661</v>
      </c>
      <c r="K127" s="136">
        <v>595875296</v>
      </c>
      <c r="L127" s="70">
        <f t="shared" si="16"/>
        <v>15.984836971048614</v>
      </c>
      <c r="M127" s="70">
        <f t="shared" si="17"/>
        <v>3.5138300271258407</v>
      </c>
      <c r="N127" s="136">
        <v>679004229</v>
      </c>
      <c r="O127" s="70">
        <f t="shared" si="18"/>
        <v>19.654897846232544</v>
      </c>
      <c r="P127" s="70">
        <f t="shared" si="19"/>
        <v>3.7746153362944512</v>
      </c>
      <c r="Q127" s="75"/>
    </row>
    <row r="128" spans="1:17">
      <c r="A128" s="58"/>
      <c r="B128" s="58"/>
      <c r="C128" s="58"/>
      <c r="D128" s="58"/>
      <c r="E128" s="58"/>
      <c r="F128" s="97"/>
      <c r="G128" s="58"/>
      <c r="H128" s="58"/>
      <c r="I128" s="53"/>
      <c r="J128" s="30"/>
      <c r="K128" s="97"/>
      <c r="L128" s="58"/>
      <c r="M128" s="58"/>
      <c r="N128" s="97"/>
      <c r="O128" s="58"/>
      <c r="P128" s="58"/>
      <c r="Q128" s="30"/>
    </row>
    <row r="129" spans="1:17">
      <c r="A129" s="358" t="s">
        <v>72</v>
      </c>
      <c r="B129" s="358"/>
      <c r="C129" s="358"/>
      <c r="D129" s="358"/>
      <c r="E129" s="358"/>
      <c r="F129" s="358"/>
      <c r="G129" s="358"/>
      <c r="H129" s="358"/>
      <c r="I129" s="358"/>
      <c r="J129" s="358"/>
      <c r="K129" s="163"/>
      <c r="L129" s="163"/>
      <c r="M129" s="163"/>
      <c r="N129" s="163"/>
      <c r="O129" s="163"/>
      <c r="P129" s="163"/>
      <c r="Q129" s="163"/>
    </row>
    <row r="130" spans="1:17">
      <c r="B130" s="57"/>
      <c r="C130" s="112"/>
      <c r="D130" s="112"/>
      <c r="E130" s="112"/>
      <c r="F130" s="112"/>
      <c r="G130" s="112"/>
      <c r="H130" s="112"/>
      <c r="I130" s="53"/>
      <c r="J130" s="30"/>
      <c r="K130" s="112"/>
      <c r="L130" s="112"/>
      <c r="M130" s="112"/>
      <c r="N130" s="112"/>
      <c r="O130" s="112"/>
      <c r="P130" s="112"/>
      <c r="Q130" s="30"/>
    </row>
    <row r="131" spans="1:17" ht="69" customHeight="1">
      <c r="A131" s="55"/>
      <c r="B131" s="54" t="s">
        <v>42</v>
      </c>
      <c r="C131" s="5" t="s">
        <v>73</v>
      </c>
      <c r="D131" s="5" t="s">
        <v>1</v>
      </c>
      <c r="E131" s="5" t="s">
        <v>2</v>
      </c>
      <c r="F131" s="5" t="s">
        <v>75</v>
      </c>
      <c r="G131" s="5" t="s">
        <v>1</v>
      </c>
      <c r="H131" s="5" t="s">
        <v>2</v>
      </c>
      <c r="I131" s="5" t="s">
        <v>76</v>
      </c>
      <c r="J131" s="5" t="s">
        <v>77</v>
      </c>
      <c r="K131" s="5"/>
      <c r="L131" s="5" t="s">
        <v>1</v>
      </c>
      <c r="M131" s="5" t="s">
        <v>2</v>
      </c>
      <c r="N131" s="5"/>
      <c r="O131" s="5" t="s">
        <v>1</v>
      </c>
      <c r="P131" s="5" t="s">
        <v>2</v>
      </c>
      <c r="Q131" s="166"/>
    </row>
    <row r="132" spans="1:17" ht="21.75" customHeight="1">
      <c r="A132" s="154">
        <v>18</v>
      </c>
      <c r="B132" s="155" t="s">
        <v>28</v>
      </c>
      <c r="C132" s="157">
        <v>1402793908</v>
      </c>
      <c r="D132" s="156">
        <v>100</v>
      </c>
      <c r="E132" s="156">
        <f>C132/$C$135/1000000*100</f>
        <v>9.7146392520775624</v>
      </c>
      <c r="F132" s="157">
        <v>1425236818</v>
      </c>
      <c r="G132" s="156">
        <v>100</v>
      </c>
      <c r="H132" s="156">
        <f>F132/$F$135/1000000*100</f>
        <v>8.915810065371744</v>
      </c>
      <c r="I132" s="84">
        <f>F132-C132</f>
        <v>22442910</v>
      </c>
      <c r="J132" s="83">
        <f>F132/C132*100-100</f>
        <v>1.5998722172951005</v>
      </c>
      <c r="K132" s="157">
        <v>1426138111</v>
      </c>
      <c r="L132" s="156">
        <v>100</v>
      </c>
      <c r="M132" s="156">
        <f>K132/$K$135/1000000*100</f>
        <v>8.4098249262884774</v>
      </c>
      <c r="N132" s="157">
        <v>1434064153</v>
      </c>
      <c r="O132" s="156">
        <v>100</v>
      </c>
      <c r="P132" s="156">
        <f>N132/$N$135/1000000*100</f>
        <v>7.9720277340775043</v>
      </c>
      <c r="Q132" s="182"/>
    </row>
    <row r="133" spans="1:17" ht="21.75" customHeight="1">
      <c r="A133" s="63"/>
      <c r="B133" s="115" t="s">
        <v>79</v>
      </c>
      <c r="C133" s="134">
        <v>15491371</v>
      </c>
      <c r="D133" s="62">
        <f>C133/$C$4*100</f>
        <v>0.45245995448162091</v>
      </c>
      <c r="E133" s="62">
        <f>C133/$C$135/1000000*100</f>
        <v>0.10728096260387811</v>
      </c>
      <c r="F133" s="134">
        <v>1425236818</v>
      </c>
      <c r="G133" s="62">
        <f>F133/$F$4*100</f>
        <v>39.699880434302557</v>
      </c>
      <c r="H133" s="62">
        <f>F133/$F$135/1000000*100</f>
        <v>8.915810065371744</v>
      </c>
      <c r="I133" s="61">
        <f>F133-C133</f>
        <v>1409745447</v>
      </c>
      <c r="J133" s="60">
        <f>F133/C133*100-100</f>
        <v>9100.1980844690897</v>
      </c>
      <c r="K133" s="134">
        <v>1426138111</v>
      </c>
      <c r="L133" s="62">
        <f>K133/$K$4*100</f>
        <v>38.257308795252079</v>
      </c>
      <c r="M133" s="183">
        <f>K133/$K$135/1000000*100</f>
        <v>8.4098249262884774</v>
      </c>
      <c r="N133" s="134">
        <v>1434064153</v>
      </c>
      <c r="O133" s="62">
        <f>N133/$N$4*100</f>
        <v>41.511353285192868</v>
      </c>
      <c r="P133" s="183">
        <f>N133/$N$135/1000000*100</f>
        <v>7.9720277340775043</v>
      </c>
      <c r="Q133" s="75"/>
    </row>
    <row r="134" spans="1:17" ht="21.75" customHeight="1">
      <c r="A134" s="150"/>
      <c r="B134" s="151"/>
      <c r="C134" s="152"/>
      <c r="D134" s="153"/>
      <c r="E134" s="153"/>
      <c r="F134" s="152"/>
      <c r="G134" s="153"/>
      <c r="H134" s="153"/>
      <c r="I134" s="76"/>
      <c r="J134" s="75"/>
      <c r="K134" s="152"/>
      <c r="L134" s="153"/>
      <c r="M134" s="153"/>
      <c r="N134" s="152"/>
      <c r="O134" s="153"/>
      <c r="P134" s="153"/>
      <c r="Q134" s="75"/>
    </row>
    <row r="135" spans="1:17">
      <c r="B135" s="6" t="s">
        <v>3</v>
      </c>
      <c r="C135" s="7">
        <v>14440</v>
      </c>
      <c r="D135" s="29"/>
      <c r="E135" s="29"/>
      <c r="F135" s="7">
        <v>15985.5</v>
      </c>
      <c r="G135" s="29"/>
      <c r="H135" s="29"/>
      <c r="K135" s="7">
        <v>16958</v>
      </c>
      <c r="L135" s="29"/>
      <c r="M135" s="29"/>
      <c r="N135" s="7">
        <v>17988.7</v>
      </c>
      <c r="O135" s="29"/>
      <c r="P135" s="29"/>
    </row>
    <row r="136" spans="1:17">
      <c r="I136" s="53"/>
    </row>
    <row r="137" spans="1:17">
      <c r="F137" s="52"/>
      <c r="K137" s="52"/>
      <c r="N137" s="52"/>
    </row>
    <row r="138" spans="1:17">
      <c r="F138" s="52"/>
      <c r="K138" s="52"/>
      <c r="N138" s="52"/>
    </row>
    <row r="139" spans="1:17">
      <c r="F139" s="52"/>
      <c r="K139" s="52"/>
      <c r="N139" s="52"/>
    </row>
    <row r="140" spans="1:17">
      <c r="F140" s="51"/>
      <c r="K140" s="51"/>
      <c r="N140" s="51"/>
    </row>
    <row r="141" spans="1:17">
      <c r="F141" s="51"/>
      <c r="K141" s="51"/>
      <c r="N141" s="51"/>
    </row>
    <row r="143" spans="1:17">
      <c r="F143" s="51"/>
      <c r="K143" s="51"/>
      <c r="N143" s="51"/>
    </row>
  </sheetData>
  <autoFilter ref="B1:B143"/>
  <mergeCells count="2">
    <mergeCell ref="A1:J1"/>
    <mergeCell ref="A129:J129"/>
  </mergeCells>
  <pageMargins left="0.31496062992125984" right="0.15748031496062992" top="0.59055118110236227" bottom="0.39370078740157483" header="0.27559055118110237" footer="0.15748031496062992"/>
  <pageSetup paperSize="9" scale="50" orientation="landscape" verticalDpi="144" r:id="rId1"/>
  <headerFooter alignWithMargins="0">
    <oddFooter>&amp;L&amp;F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7"/>
  <sheetViews>
    <sheetView view="pageLayout" zoomScale="85" zoomScaleNormal="70" zoomScalePageLayoutView="85" workbookViewId="0">
      <selection activeCell="S23" sqref="S23"/>
    </sheetView>
  </sheetViews>
  <sheetFormatPr defaultColWidth="8.85546875" defaultRowHeight="15.75"/>
  <cols>
    <col min="1" max="1" width="43" style="208" customWidth="1"/>
    <col min="2" max="2" width="17.140625" style="74" customWidth="1"/>
    <col min="3" max="4" width="8.140625" style="74" customWidth="1"/>
    <col min="5" max="5" width="15.5703125" style="29" customWidth="1"/>
    <col min="6" max="6" width="8" style="74" customWidth="1"/>
    <col min="7" max="7" width="8" style="73" customWidth="1"/>
    <col min="8" max="8" width="18" style="29" customWidth="1"/>
    <col min="9" max="9" width="14.5703125" style="29" customWidth="1"/>
    <col min="10" max="10" width="16.7109375" style="29" customWidth="1"/>
    <col min="11" max="11" width="7.85546875" style="74" customWidth="1"/>
    <col min="12" max="12" width="7.85546875" style="73" customWidth="1"/>
    <col min="13" max="13" width="16.7109375" style="29" customWidth="1"/>
    <col min="14" max="14" width="8.28515625" style="74" customWidth="1"/>
    <col min="15" max="15" width="8.28515625" style="73" customWidth="1"/>
    <col min="16" max="16384" width="8.85546875" style="29"/>
  </cols>
  <sheetData>
    <row r="1" spans="1:15">
      <c r="A1" s="361"/>
      <c r="B1" s="361"/>
      <c r="C1" s="361"/>
      <c r="D1" s="361"/>
      <c r="E1" s="361"/>
      <c r="F1" s="361"/>
      <c r="G1" s="361"/>
      <c r="H1" s="361"/>
      <c r="I1" s="361"/>
      <c r="M1" s="251"/>
    </row>
    <row r="2" spans="1:15">
      <c r="A2" s="360" t="s">
        <v>131</v>
      </c>
      <c r="B2" s="360"/>
      <c r="C2" s="360"/>
      <c r="D2" s="360"/>
      <c r="E2" s="360"/>
      <c r="F2" s="360"/>
      <c r="G2" s="360"/>
      <c r="H2" s="360"/>
      <c r="I2" s="360"/>
      <c r="J2" s="53"/>
      <c r="K2" s="29"/>
      <c r="L2" s="29"/>
      <c r="M2" s="53"/>
      <c r="N2" s="29"/>
      <c r="O2" s="29"/>
    </row>
    <row r="3" spans="1:15">
      <c r="B3" s="87"/>
      <c r="C3" s="87"/>
      <c r="D3" s="87"/>
      <c r="E3" s="53"/>
      <c r="F3" s="86"/>
      <c r="G3" s="85"/>
      <c r="J3" s="53"/>
      <c r="K3" s="86"/>
      <c r="L3" s="85"/>
      <c r="M3" s="53"/>
      <c r="N3" s="86"/>
      <c r="O3" s="85"/>
    </row>
    <row r="4" spans="1:15" ht="63.75">
      <c r="A4" s="202" t="s">
        <v>45</v>
      </c>
      <c r="B4" s="199" t="s">
        <v>140</v>
      </c>
      <c r="C4" s="199" t="s">
        <v>1</v>
      </c>
      <c r="D4" s="199" t="s">
        <v>2</v>
      </c>
      <c r="E4" s="199" t="s">
        <v>158</v>
      </c>
      <c r="F4" s="199" t="s">
        <v>1</v>
      </c>
      <c r="G4" s="199" t="s">
        <v>2</v>
      </c>
      <c r="H4" s="199" t="s">
        <v>141</v>
      </c>
      <c r="I4" s="199" t="s">
        <v>142</v>
      </c>
      <c r="J4" s="199" t="s">
        <v>143</v>
      </c>
      <c r="K4" s="199" t="s">
        <v>1</v>
      </c>
      <c r="L4" s="199" t="s">
        <v>2</v>
      </c>
      <c r="M4" s="199" t="s">
        <v>144</v>
      </c>
      <c r="N4" s="199" t="s">
        <v>1</v>
      </c>
      <c r="O4" s="199" t="s">
        <v>2</v>
      </c>
    </row>
    <row r="5" spans="1:15">
      <c r="A5" s="216" t="s">
        <v>57</v>
      </c>
      <c r="B5" s="327">
        <f>B6+B25</f>
        <v>8954188268</v>
      </c>
      <c r="C5" s="94">
        <f>B5/B5*100</f>
        <v>100</v>
      </c>
      <c r="D5" s="94">
        <f t="shared" ref="D5:D34" si="0">B5/$B$36/1000000*100</f>
        <v>31.574414711379102</v>
      </c>
      <c r="E5" s="327">
        <v>9391492946</v>
      </c>
      <c r="F5" s="94">
        <f>E5/E5*100</f>
        <v>100</v>
      </c>
      <c r="G5" s="94">
        <f t="shared" ref="G5:G33" si="1">E5/$E$36/1000000*100</f>
        <v>30.290253010804708</v>
      </c>
      <c r="H5" s="327">
        <f>E5-B5</f>
        <v>437304678</v>
      </c>
      <c r="I5" s="94">
        <f>E5/B5*100-100</f>
        <v>4.8838003503099969</v>
      </c>
      <c r="J5" s="327">
        <f>J6+J25</f>
        <v>9900412293</v>
      </c>
      <c r="K5" s="94">
        <f>J5/J5*100</f>
        <v>100</v>
      </c>
      <c r="L5" s="94">
        <f t="shared" ref="L5:L33" si="2">J5/$J$36/1000000*100</f>
        <v>30.172225316185656</v>
      </c>
      <c r="M5" s="327">
        <f>M6+M25</f>
        <v>10287069246</v>
      </c>
      <c r="N5" s="94">
        <f>M5/M5*100</f>
        <v>100</v>
      </c>
      <c r="O5" s="94">
        <f t="shared" ref="O5:O33" si="3">M5/$M$36/1000000*100</f>
        <v>29.709947280866427</v>
      </c>
    </row>
    <row r="6" spans="1:15">
      <c r="A6" s="209" t="s">
        <v>54</v>
      </c>
      <c r="B6" s="82">
        <f>B7+B10+B11+B14+B17</f>
        <v>8511906240</v>
      </c>
      <c r="C6" s="81">
        <f>B6/$B$5*100</f>
        <v>95.060612813105521</v>
      </c>
      <c r="D6" s="81">
        <f t="shared" si="0"/>
        <v>30.01483211678832</v>
      </c>
      <c r="E6" s="82">
        <v>8673811869</v>
      </c>
      <c r="F6" s="81">
        <f t="shared" ref="F6:F34" si="4">E6/$E$5*100</f>
        <v>92.358179033657549</v>
      </c>
      <c r="G6" s="81">
        <f t="shared" si="1"/>
        <v>27.975526105466859</v>
      </c>
      <c r="H6" s="82">
        <f t="shared" ref="H6:H34" si="5">E6-B6</f>
        <v>161905629</v>
      </c>
      <c r="I6" s="81">
        <f t="shared" ref="I6:I33" si="6">E6/B6*100-100</f>
        <v>1.9021077586493647</v>
      </c>
      <c r="J6" s="82">
        <f>J7+J10+J11+J14+J17</f>
        <v>9322439064</v>
      </c>
      <c r="K6" s="81">
        <f>J6/$J$5*100</f>
        <v>94.162129698288922</v>
      </c>
      <c r="L6" s="81">
        <f t="shared" si="2"/>
        <v>28.410809935086707</v>
      </c>
      <c r="M6" s="82">
        <f>M7+M10+M11+M14+M17</f>
        <v>9770614600</v>
      </c>
      <c r="N6" s="81">
        <f>M6/$M$5*100</f>
        <v>94.979574515833875</v>
      </c>
      <c r="O6" s="81">
        <f t="shared" si="3"/>
        <v>28.218381516245483</v>
      </c>
    </row>
    <row r="7" spans="1:15">
      <c r="A7" s="210" t="s">
        <v>53</v>
      </c>
      <c r="B7" s="80">
        <f>B8+B9</f>
        <v>1948397239</v>
      </c>
      <c r="C7" s="79">
        <f t="shared" ref="C7:C34" si="7">B7/$B$5*100</f>
        <v>21.759618858619245</v>
      </c>
      <c r="D7" s="79">
        <f t="shared" si="0"/>
        <v>6.8704722980358968</v>
      </c>
      <c r="E7" s="80">
        <v>1958160417</v>
      </c>
      <c r="F7" s="79">
        <f t="shared" si="4"/>
        <v>20.850363496615461</v>
      </c>
      <c r="G7" s="79">
        <f t="shared" si="1"/>
        <v>6.3156278567972901</v>
      </c>
      <c r="H7" s="80">
        <f t="shared" si="5"/>
        <v>9763178</v>
      </c>
      <c r="I7" s="79">
        <f t="shared" si="6"/>
        <v>0.50108765320418058</v>
      </c>
      <c r="J7" s="80">
        <f>J8+J9</f>
        <v>1906005797</v>
      </c>
      <c r="K7" s="79">
        <f t="shared" ref="K7:K34" si="8">J7/$J$5*100</f>
        <v>19.251782053032525</v>
      </c>
      <c r="L7" s="79">
        <f t="shared" si="2"/>
        <v>5.8086910584219664</v>
      </c>
      <c r="M7" s="80">
        <f>M8+M9</f>
        <v>1925397798</v>
      </c>
      <c r="N7" s="79">
        <f t="shared" ref="N7:N34" si="9">M7/$M$5*100</f>
        <v>18.716679668008137</v>
      </c>
      <c r="O7" s="79">
        <f t="shared" si="3"/>
        <v>5.5607156620938634</v>
      </c>
    </row>
    <row r="8" spans="1:15">
      <c r="A8" s="211" t="s">
        <v>58</v>
      </c>
      <c r="B8" s="80">
        <f>[2]pb_spb_ekon!B8+[2]pb_spb_ekon!B47</f>
        <v>1076699904</v>
      </c>
      <c r="C8" s="79">
        <f t="shared" si="7"/>
        <v>12.024539486709841</v>
      </c>
      <c r="D8" s="79">
        <f t="shared" si="0"/>
        <v>3.7966779646673015</v>
      </c>
      <c r="E8" s="80">
        <v>1189933528</v>
      </c>
      <c r="F8" s="79">
        <f t="shared" si="4"/>
        <v>12.670334044246005</v>
      </c>
      <c r="G8" s="79">
        <f t="shared" si="1"/>
        <v>3.8378762393162393</v>
      </c>
      <c r="H8" s="80">
        <f t="shared" si="5"/>
        <v>113233624</v>
      </c>
      <c r="I8" s="79">
        <f t="shared" si="6"/>
        <v>10.516730203033433</v>
      </c>
      <c r="J8" s="80">
        <f>[2]pb_spb_ekon!J8+[2]pb_spb_ekon!J47</f>
        <v>1170954082</v>
      </c>
      <c r="K8" s="79">
        <f t="shared" si="8"/>
        <v>11.827326452130816</v>
      </c>
      <c r="L8" s="79">
        <f t="shared" si="2"/>
        <v>3.5685675860177368</v>
      </c>
      <c r="M8" s="80">
        <f>[2]pb_spb_ekon!M8+[2]pb_spb_ekon!M47</f>
        <v>1167304959</v>
      </c>
      <c r="N8" s="79">
        <f t="shared" si="9"/>
        <v>11.347303406690804</v>
      </c>
      <c r="O8" s="79">
        <f t="shared" si="3"/>
        <v>3.3712778599277975</v>
      </c>
    </row>
    <row r="9" spans="1:15">
      <c r="A9" s="211" t="s">
        <v>52</v>
      </c>
      <c r="B9" s="80">
        <f>[2]pb_spb_ekon!B9+[2]pb_spb_ekon!B48</f>
        <v>871697335</v>
      </c>
      <c r="C9" s="79">
        <f t="shared" si="7"/>
        <v>9.7350793719094053</v>
      </c>
      <c r="D9" s="79">
        <f t="shared" si="0"/>
        <v>3.0737943333685953</v>
      </c>
      <c r="E9" s="80">
        <v>768226889</v>
      </c>
      <c r="F9" s="79">
        <f t="shared" si="4"/>
        <v>8.1800294523694568</v>
      </c>
      <c r="G9" s="79">
        <f t="shared" si="1"/>
        <v>2.4777516174810512</v>
      </c>
      <c r="H9" s="80">
        <f t="shared" si="5"/>
        <v>-103470446</v>
      </c>
      <c r="I9" s="79">
        <f t="shared" si="6"/>
        <v>-11.869996826364044</v>
      </c>
      <c r="J9" s="80">
        <f>[2]pb_spb_ekon!J9+[2]pb_spb_ekon!J48</f>
        <v>735051715</v>
      </c>
      <c r="K9" s="79">
        <f t="shared" si="8"/>
        <v>7.4244556009017106</v>
      </c>
      <c r="L9" s="79">
        <f t="shared" si="2"/>
        <v>2.24012347240423</v>
      </c>
      <c r="M9" s="80">
        <f>[2]pb_spb_ekon!M9+[2]pb_spb_ekon!M48</f>
        <v>758092839</v>
      </c>
      <c r="N9" s="79">
        <f t="shared" si="9"/>
        <v>7.369376261317333</v>
      </c>
      <c r="O9" s="79">
        <f t="shared" si="3"/>
        <v>2.189437802166065</v>
      </c>
    </row>
    <row r="10" spans="1:15">
      <c r="A10" s="210" t="s">
        <v>51</v>
      </c>
      <c r="B10" s="80">
        <f>[2]pb_spb_ekon!B10+[2]pb_spb_ekon!B49</f>
        <v>235011150</v>
      </c>
      <c r="C10" s="79">
        <f t="shared" si="7"/>
        <v>2.6245946920713101</v>
      </c>
      <c r="D10" s="79">
        <f t="shared" si="0"/>
        <v>0.82870041256743898</v>
      </c>
      <c r="E10" s="80">
        <v>224355901</v>
      </c>
      <c r="F10" s="79">
        <f t="shared" si="4"/>
        <v>2.3889268968205641</v>
      </c>
      <c r="G10" s="79">
        <f t="shared" si="1"/>
        <v>0.72361200129011449</v>
      </c>
      <c r="H10" s="80">
        <f t="shared" si="5"/>
        <v>-10655249</v>
      </c>
      <c r="I10" s="79">
        <f t="shared" si="6"/>
        <v>-4.5339333899689507</v>
      </c>
      <c r="J10" s="80">
        <f>[2]pb_spb_ekon!J10+[2]pb_spb_ekon!J49</f>
        <v>255526509</v>
      </c>
      <c r="K10" s="79">
        <f t="shared" si="8"/>
        <v>2.5809683621021295</v>
      </c>
      <c r="L10" s="79">
        <f t="shared" si="2"/>
        <v>0.7787355895529211</v>
      </c>
      <c r="M10" s="80">
        <f>[2]pb_spb_ekon!M10+[2]pb_spb_ekon!M49</f>
        <v>275723408</v>
      </c>
      <c r="N10" s="79">
        <f t="shared" si="9"/>
        <v>2.6802911636588007</v>
      </c>
      <c r="O10" s="79">
        <f t="shared" si="3"/>
        <v>0.79631309169675091</v>
      </c>
    </row>
    <row r="11" spans="1:15">
      <c r="A11" s="210" t="s">
        <v>50</v>
      </c>
      <c r="B11" s="80">
        <f>B12+B13</f>
        <v>5202926289</v>
      </c>
      <c r="C11" s="79">
        <f t="shared" si="7"/>
        <v>58.106063143589914</v>
      </c>
      <c r="D11" s="79">
        <f t="shared" si="0"/>
        <v>18.346649349412882</v>
      </c>
      <c r="E11" s="80">
        <v>5256130725</v>
      </c>
      <c r="F11" s="79">
        <f t="shared" si="4"/>
        <v>55.966934705931678</v>
      </c>
      <c r="G11" s="79">
        <f t="shared" si="1"/>
        <v>16.952526124818576</v>
      </c>
      <c r="H11" s="80">
        <f t="shared" si="5"/>
        <v>53204436</v>
      </c>
      <c r="I11" s="79">
        <f t="shared" si="6"/>
        <v>1.0225867722263331</v>
      </c>
      <c r="J11" s="80">
        <f>J12+J13</f>
        <v>5794576321</v>
      </c>
      <c r="K11" s="79">
        <f t="shared" si="8"/>
        <v>58.528636480088856</v>
      </c>
      <c r="L11" s="79">
        <f t="shared" si="2"/>
        <v>17.659392073263643</v>
      </c>
      <c r="M11" s="80">
        <f>M12+M13</f>
        <v>6192285451</v>
      </c>
      <c r="N11" s="79">
        <f t="shared" si="9"/>
        <v>60.194845615604208</v>
      </c>
      <c r="O11" s="79">
        <f t="shared" si="3"/>
        <v>17.883856898194946</v>
      </c>
    </row>
    <row r="12" spans="1:15">
      <c r="A12" s="211" t="s">
        <v>49</v>
      </c>
      <c r="B12" s="80">
        <f>[2]pb_spb_ekon!B12+[2]pb_spb_ekon!B51</f>
        <v>2165519548</v>
      </c>
      <c r="C12" s="79">
        <f t="shared" si="7"/>
        <v>24.184431722739383</v>
      </c>
      <c r="D12" s="79">
        <f t="shared" si="0"/>
        <v>7.6360927677280577</v>
      </c>
      <c r="E12" s="80">
        <v>2085656073</v>
      </c>
      <c r="F12" s="79">
        <f t="shared" si="4"/>
        <v>22.207928867031914</v>
      </c>
      <c r="G12" s="79">
        <f t="shared" si="1"/>
        <v>6.7268378422835022</v>
      </c>
      <c r="H12" s="80">
        <f t="shared" si="5"/>
        <v>-79863475</v>
      </c>
      <c r="I12" s="79">
        <f t="shared" si="6"/>
        <v>-3.6879590892522316</v>
      </c>
      <c r="J12" s="80">
        <f>[2]pb_spb_ekon!J12+[2]pb_spb_ekon!J51</f>
        <v>2369270726</v>
      </c>
      <c r="K12" s="79">
        <f t="shared" si="8"/>
        <v>23.931030909441741</v>
      </c>
      <c r="L12" s="79">
        <f t="shared" si="2"/>
        <v>7.2205245664827959</v>
      </c>
      <c r="M12" s="80">
        <f>[2]pb_spb_ekon!M12+[2]pb_spb_ekon!M51</f>
        <v>2582576941</v>
      </c>
      <c r="N12" s="79">
        <f t="shared" si="9"/>
        <v>25.105079777743338</v>
      </c>
      <c r="O12" s="79">
        <f t="shared" si="3"/>
        <v>7.4587059667870035</v>
      </c>
    </row>
    <row r="13" spans="1:15">
      <c r="A13" s="211" t="s">
        <v>48</v>
      </c>
      <c r="B13" s="80">
        <f>[2]pb_spb_ekon!B13+[2]pb_spb_ekon!B52</f>
        <v>3037406741</v>
      </c>
      <c r="C13" s="79">
        <f t="shared" si="7"/>
        <v>33.921631420850531</v>
      </c>
      <c r="D13" s="79">
        <f t="shared" si="0"/>
        <v>10.710556581684825</v>
      </c>
      <c r="E13" s="80">
        <v>3170474652</v>
      </c>
      <c r="F13" s="79">
        <f t="shared" si="4"/>
        <v>33.759005838899768</v>
      </c>
      <c r="G13" s="79">
        <f t="shared" si="1"/>
        <v>10.225688282535076</v>
      </c>
      <c r="H13" s="80">
        <f t="shared" si="5"/>
        <v>133067911</v>
      </c>
      <c r="I13" s="79">
        <f t="shared" si="6"/>
        <v>4.3809710831217217</v>
      </c>
      <c r="J13" s="80">
        <f>[2]pb_spb_ekon!J13+[2]pb_spb_ekon!J52</f>
        <v>3425305595</v>
      </c>
      <c r="K13" s="79">
        <f t="shared" si="8"/>
        <v>34.597605570647119</v>
      </c>
      <c r="L13" s="79">
        <f t="shared" si="2"/>
        <v>10.43886750678085</v>
      </c>
      <c r="M13" s="80">
        <f>[2]pb_spb_ekon!M13+[2]pb_spb_ekon!M52</f>
        <v>3609708510</v>
      </c>
      <c r="N13" s="79">
        <f t="shared" si="9"/>
        <v>35.089765837860867</v>
      </c>
      <c r="O13" s="79">
        <f t="shared" si="3"/>
        <v>10.425150931407941</v>
      </c>
    </row>
    <row r="14" spans="1:15" ht="26.25">
      <c r="A14" s="210" t="s">
        <v>59</v>
      </c>
      <c r="B14" s="80">
        <f>B15+B16</f>
        <v>317434683</v>
      </c>
      <c r="C14" s="79">
        <f t="shared" si="7"/>
        <v>3.5450972606241833</v>
      </c>
      <c r="D14" s="79">
        <f t="shared" si="0"/>
        <v>1.1193437109912197</v>
      </c>
      <c r="E14" s="80">
        <v>320119778</v>
      </c>
      <c r="F14" s="79">
        <f t="shared" si="4"/>
        <v>3.4086143687766337</v>
      </c>
      <c r="G14" s="79">
        <f t="shared" si="1"/>
        <v>1.0324779164650864</v>
      </c>
      <c r="H14" s="80">
        <f t="shared" si="5"/>
        <v>2685095</v>
      </c>
      <c r="I14" s="79">
        <f t="shared" si="6"/>
        <v>0.84587322803663767</v>
      </c>
      <c r="J14" s="80">
        <f>J15+J16</f>
        <v>350826002</v>
      </c>
      <c r="K14" s="79">
        <f t="shared" si="8"/>
        <v>3.5435494160990495</v>
      </c>
      <c r="L14" s="79">
        <f t="shared" si="2"/>
        <v>1.0691677140157865</v>
      </c>
      <c r="M14" s="80">
        <f>M15+M16</f>
        <v>366474296</v>
      </c>
      <c r="N14" s="79">
        <f t="shared" si="9"/>
        <v>3.5624752515639866</v>
      </c>
      <c r="O14" s="79">
        <f t="shared" si="3"/>
        <v>1.0584095191335741</v>
      </c>
    </row>
    <row r="15" spans="1:15" ht="26.25">
      <c r="A15" s="211" t="s">
        <v>60</v>
      </c>
      <c r="B15" s="80">
        <f>[2]pb_spb_ekon!B15</f>
        <v>282874574</v>
      </c>
      <c r="C15" s="79">
        <f t="shared" si="7"/>
        <v>3.1591314090515841</v>
      </c>
      <c r="D15" s="79">
        <f t="shared" si="0"/>
        <v>0.9974772523713813</v>
      </c>
      <c r="E15" s="80">
        <v>273111757</v>
      </c>
      <c r="F15" s="79">
        <f t="shared" si="4"/>
        <v>2.9080760489345101</v>
      </c>
      <c r="G15" s="79">
        <f t="shared" si="1"/>
        <v>0.88086359296887606</v>
      </c>
      <c r="H15" s="80">
        <f t="shared" si="5"/>
        <v>-9762817</v>
      </c>
      <c r="I15" s="79">
        <f t="shared" si="6"/>
        <v>-3.4512882730846002</v>
      </c>
      <c r="J15" s="80">
        <f>[2]pb_spb_ekon!J15</f>
        <v>320191201</v>
      </c>
      <c r="K15" s="79">
        <f t="shared" si="8"/>
        <v>3.2341198681835541</v>
      </c>
      <c r="L15" s="79">
        <f t="shared" si="2"/>
        <v>0.97580593362386858</v>
      </c>
      <c r="M15" s="80">
        <f>[2]pb_spb_ekon!M15</f>
        <v>339009400</v>
      </c>
      <c r="N15" s="79">
        <f t="shared" si="9"/>
        <v>3.2954905998306527</v>
      </c>
      <c r="O15" s="79">
        <f t="shared" si="3"/>
        <v>0.97908851985559553</v>
      </c>
    </row>
    <row r="16" spans="1:15">
      <c r="A16" s="211" t="s">
        <v>61</v>
      </c>
      <c r="B16" s="80">
        <f>[2]pb_spb_ekon!B16+[2]pb_spb_ekon!B54</f>
        <v>34560109</v>
      </c>
      <c r="C16" s="79">
        <f t="shared" si="7"/>
        <v>0.38596585157259949</v>
      </c>
      <c r="D16" s="79">
        <f t="shared" si="0"/>
        <v>0.1218664586198385</v>
      </c>
      <c r="E16" s="80">
        <v>47008021</v>
      </c>
      <c r="F16" s="79">
        <f t="shared" si="4"/>
        <v>0.50053831984212405</v>
      </c>
      <c r="G16" s="79">
        <f t="shared" si="1"/>
        <v>0.15161432349621029</v>
      </c>
      <c r="H16" s="80">
        <f t="shared" si="5"/>
        <v>12447912</v>
      </c>
      <c r="I16" s="79">
        <f t="shared" si="6"/>
        <v>36.018150289977399</v>
      </c>
      <c r="J16" s="80">
        <f>[2]pb_spb_ekon!J16+[2]pb_spb_ekon!J54</f>
        <v>30634801</v>
      </c>
      <c r="K16" s="79">
        <f t="shared" si="8"/>
        <v>0.3094295479154951</v>
      </c>
      <c r="L16" s="79">
        <f t="shared" si="2"/>
        <v>9.3361780391917837E-2</v>
      </c>
      <c r="M16" s="80">
        <f>[2]pb_spb_ekon!M16+[2]pb_spb_ekon!M54</f>
        <v>27464896</v>
      </c>
      <c r="N16" s="79">
        <f t="shared" si="9"/>
        <v>0.26698465173333397</v>
      </c>
      <c r="O16" s="79">
        <f t="shared" si="3"/>
        <v>7.9320999277978338E-2</v>
      </c>
    </row>
    <row r="17" spans="1:15" ht="39">
      <c r="A17" s="328" t="s">
        <v>148</v>
      </c>
      <c r="B17" s="80">
        <f>B18+B22</f>
        <v>808136879</v>
      </c>
      <c r="C17" s="79">
        <f t="shared" si="7"/>
        <v>9.0252388582008756</v>
      </c>
      <c r="D17" s="79">
        <f t="shared" si="0"/>
        <v>2.8496663457808808</v>
      </c>
      <c r="E17" s="80">
        <v>915045048</v>
      </c>
      <c r="F17" s="79">
        <f t="shared" si="4"/>
        <v>9.7433395655132085</v>
      </c>
      <c r="G17" s="79">
        <f t="shared" si="1"/>
        <v>2.9512822060957911</v>
      </c>
      <c r="H17" s="80">
        <f t="shared" si="5"/>
        <v>106908169</v>
      </c>
      <c r="I17" s="79">
        <f t="shared" si="6"/>
        <v>13.22896798526132</v>
      </c>
      <c r="J17" s="80">
        <f>J18+J22</f>
        <v>1015504435</v>
      </c>
      <c r="K17" s="79">
        <f t="shared" si="8"/>
        <v>10.257193386966353</v>
      </c>
      <c r="L17" s="79">
        <f t="shared" si="2"/>
        <v>3.0948234998323834</v>
      </c>
      <c r="M17" s="80">
        <f>M18+M22</f>
        <v>1010733647</v>
      </c>
      <c r="N17" s="79">
        <f t="shared" si="9"/>
        <v>9.8252828169987421</v>
      </c>
      <c r="O17" s="79">
        <f t="shared" si="3"/>
        <v>2.9190863451263538</v>
      </c>
    </row>
    <row r="18" spans="1:15" ht="64.5">
      <c r="A18" s="329" t="s">
        <v>149</v>
      </c>
      <c r="B18" s="80">
        <f>SUM(B19:B21)</f>
        <v>746603986</v>
      </c>
      <c r="C18" s="79">
        <f t="shared" si="7"/>
        <v>8.3380420832581041</v>
      </c>
      <c r="D18" s="79">
        <f t="shared" si="0"/>
        <v>2.6326879861772281</v>
      </c>
      <c r="E18" s="80">
        <v>105833768</v>
      </c>
      <c r="F18" s="79">
        <f t="shared" si="4"/>
        <v>1.12691100987385</v>
      </c>
      <c r="G18" s="79">
        <f t="shared" si="1"/>
        <v>0.34134419609740368</v>
      </c>
      <c r="H18" s="80">
        <f t="shared" si="5"/>
        <v>-640770218</v>
      </c>
      <c r="I18" s="79">
        <f t="shared" si="6"/>
        <v>-85.824644659746028</v>
      </c>
      <c r="J18" s="80">
        <f>SUM(J19:J21)</f>
        <v>70755119</v>
      </c>
      <c r="K18" s="79">
        <f t="shared" si="8"/>
        <v>0.71466840880987137</v>
      </c>
      <c r="L18" s="79">
        <f t="shared" si="2"/>
        <v>0.21563136256971321</v>
      </c>
      <c r="M18" s="80">
        <f>SUM(M19:M21)</f>
        <v>34709868</v>
      </c>
      <c r="N18" s="79">
        <f t="shared" si="9"/>
        <v>0.33741260187877614</v>
      </c>
      <c r="O18" s="79">
        <f t="shared" si="3"/>
        <v>0.10024510613718411</v>
      </c>
    </row>
    <row r="19" spans="1:15" ht="26.25">
      <c r="A19" s="330" t="s">
        <v>63</v>
      </c>
      <c r="B19" s="80">
        <f>[2]pb_spb_ekon!B21+[2]pb_spb_ekon!B57</f>
        <v>511009680</v>
      </c>
      <c r="C19" s="79">
        <f t="shared" si="7"/>
        <v>5.7069347293737289</v>
      </c>
      <c r="D19" s="79">
        <f t="shared" si="0"/>
        <v>1.8019312387601818</v>
      </c>
      <c r="E19" s="80"/>
      <c r="F19" s="79">
        <f t="shared" si="4"/>
        <v>0</v>
      </c>
      <c r="G19" s="79">
        <f t="shared" si="1"/>
        <v>0</v>
      </c>
      <c r="H19" s="80">
        <f t="shared" si="5"/>
        <v>-511009680</v>
      </c>
      <c r="I19" s="79">
        <f t="shared" si="6"/>
        <v>-100</v>
      </c>
      <c r="J19" s="80">
        <f>[2]pb_spb_ekon!J21+[2]pb_spb_ekon!J57</f>
        <v>0</v>
      </c>
      <c r="K19" s="79">
        <f t="shared" si="8"/>
        <v>0</v>
      </c>
      <c r="L19" s="79">
        <f t="shared" si="2"/>
        <v>0</v>
      </c>
      <c r="M19" s="80">
        <f>[2]pb_spb_ekon!M21+[2]pb_spb_ekon!M57</f>
        <v>0</v>
      </c>
      <c r="N19" s="79">
        <f t="shared" si="9"/>
        <v>0</v>
      </c>
      <c r="O19" s="79">
        <f t="shared" si="3"/>
        <v>0</v>
      </c>
    </row>
    <row r="20" spans="1:15" ht="77.25">
      <c r="A20" s="330" t="s">
        <v>64</v>
      </c>
      <c r="B20" s="80">
        <f>[2]pb_spb_ekon!B22</f>
        <v>29934914</v>
      </c>
      <c r="C20" s="79">
        <f t="shared" si="7"/>
        <v>0.3343118672965566</v>
      </c>
      <c r="D20" s="79">
        <f t="shared" si="0"/>
        <v>0.10555701540957015</v>
      </c>
      <c r="E20" s="80">
        <v>44800346</v>
      </c>
      <c r="F20" s="79">
        <f t="shared" si="4"/>
        <v>0.47703114145532366</v>
      </c>
      <c r="G20" s="79">
        <f t="shared" si="1"/>
        <v>0.14449393968714724</v>
      </c>
      <c r="H20" s="80">
        <f t="shared" si="5"/>
        <v>14865432</v>
      </c>
      <c r="I20" s="79">
        <f t="shared" si="6"/>
        <v>49.659177240328802</v>
      </c>
      <c r="J20" s="80">
        <f>[2]pb_spb_ekon!J22</f>
        <v>26552162</v>
      </c>
      <c r="K20" s="79">
        <f t="shared" si="8"/>
        <v>0.26819248748633906</v>
      </c>
      <c r="L20" s="79">
        <f t="shared" si="2"/>
        <v>8.0919641605461251E-2</v>
      </c>
      <c r="M20" s="80">
        <f>[2]pb_spb_ekon!M22</f>
        <v>4487000</v>
      </c>
      <c r="N20" s="79">
        <f t="shared" si="9"/>
        <v>4.3617865231583959E-2</v>
      </c>
      <c r="O20" s="79">
        <f t="shared" si="3"/>
        <v>1.295884476534296E-2</v>
      </c>
    </row>
    <row r="21" spans="1:15" ht="90">
      <c r="A21" s="330" t="s">
        <v>150</v>
      </c>
      <c r="B21" s="80">
        <f>[2]pb_spb_ekon!B23+[2]pb_spb_ekon!B58</f>
        <v>205659392</v>
      </c>
      <c r="C21" s="79">
        <f t="shared" si="7"/>
        <v>2.2967954865878193</v>
      </c>
      <c r="D21" s="79">
        <f t="shared" si="0"/>
        <v>0.72519973200747556</v>
      </c>
      <c r="E21" s="80">
        <v>61033422</v>
      </c>
      <c r="F21" s="79">
        <f t="shared" si="4"/>
        <v>0.64987986841852652</v>
      </c>
      <c r="G21" s="79">
        <f t="shared" si="1"/>
        <v>0.19685025641025641</v>
      </c>
      <c r="H21" s="80">
        <f t="shared" si="5"/>
        <v>-144625970</v>
      </c>
      <c r="I21" s="79">
        <f t="shared" si="6"/>
        <v>-70.323056289109331</v>
      </c>
      <c r="J21" s="80">
        <f>[2]pb_spb_ekon!J23+[2]pb_spb_ekon!J58</f>
        <v>44202957</v>
      </c>
      <c r="K21" s="79">
        <f t="shared" si="8"/>
        <v>0.44647592132353231</v>
      </c>
      <c r="L21" s="79">
        <f t="shared" si="2"/>
        <v>0.13471172096425199</v>
      </c>
      <c r="M21" s="80">
        <f>[2]pb_spb_ekon!M23+[2]pb_spb_ekon!M58</f>
        <v>30222868</v>
      </c>
      <c r="N21" s="79">
        <f t="shared" si="9"/>
        <v>0.29379473664719219</v>
      </c>
      <c r="O21" s="79">
        <f t="shared" si="3"/>
        <v>8.7286261371841159E-2</v>
      </c>
    </row>
    <row r="22" spans="1:15" ht="26.25">
      <c r="A22" s="211" t="s">
        <v>65</v>
      </c>
      <c r="B22" s="80">
        <f>SUM(B23:B24)</f>
        <v>61532893</v>
      </c>
      <c r="C22" s="79">
        <f t="shared" si="7"/>
        <v>0.68719677494277143</v>
      </c>
      <c r="D22" s="79">
        <f t="shared" si="0"/>
        <v>0.21697835960365316</v>
      </c>
      <c r="E22" s="80">
        <v>809211280</v>
      </c>
      <c r="F22" s="79">
        <f t="shared" si="4"/>
        <v>8.6164285556393576</v>
      </c>
      <c r="G22" s="79">
        <f t="shared" si="1"/>
        <v>2.6099380099983875</v>
      </c>
      <c r="H22" s="80">
        <f t="shared" si="5"/>
        <v>747678387</v>
      </c>
      <c r="I22" s="79">
        <f t="shared" si="6"/>
        <v>1215.0873306086876</v>
      </c>
      <c r="J22" s="80">
        <f>SUM(J23:J24)</f>
        <v>944749316</v>
      </c>
      <c r="K22" s="79">
        <f t="shared" si="8"/>
        <v>9.5425249781564823</v>
      </c>
      <c r="L22" s="79">
        <f t="shared" si="2"/>
        <v>2.8791921372626703</v>
      </c>
      <c r="M22" s="80">
        <f>SUM(M23:M24)</f>
        <v>976023779</v>
      </c>
      <c r="N22" s="79">
        <f t="shared" si="9"/>
        <v>9.4878702151199654</v>
      </c>
      <c r="O22" s="79">
        <f t="shared" si="3"/>
        <v>2.8188412389891693</v>
      </c>
    </row>
    <row r="23" spans="1:15" ht="26.25">
      <c r="A23" s="212" t="s">
        <v>66</v>
      </c>
      <c r="B23" s="80">
        <f>[2]pb_spb_ekon!B25+[2]pb_spb_ekon!B60</f>
        <v>59066065</v>
      </c>
      <c r="C23" s="79">
        <f t="shared" si="7"/>
        <v>0.65964734303261363</v>
      </c>
      <c r="D23" s="79">
        <f t="shared" si="0"/>
        <v>0.20827978772171094</v>
      </c>
      <c r="E23" s="80">
        <v>638551110</v>
      </c>
      <c r="F23" s="79">
        <f t="shared" si="4"/>
        <v>6.7992502754524242</v>
      </c>
      <c r="G23" s="79">
        <f t="shared" si="1"/>
        <v>2.0595101112723757</v>
      </c>
      <c r="H23" s="80">
        <f t="shared" si="5"/>
        <v>579485045</v>
      </c>
      <c r="I23" s="79">
        <f t="shared" si="6"/>
        <v>981.07948277915602</v>
      </c>
      <c r="J23" s="80">
        <f>[2]pb_spb_ekon!J25+[2]pb_spb_ekon!J60</f>
        <v>777505641</v>
      </c>
      <c r="K23" s="79">
        <f t="shared" si="8"/>
        <v>7.8532652781513805</v>
      </c>
      <c r="L23" s="79">
        <f t="shared" si="2"/>
        <v>2.3695048944016093</v>
      </c>
      <c r="M23" s="80">
        <f>[2]pb_spb_ekon!M25+[2]pb_spb_ekon!M60</f>
        <v>811058677</v>
      </c>
      <c r="N23" s="79">
        <f t="shared" si="9"/>
        <v>7.8842540825256924</v>
      </c>
      <c r="O23" s="79">
        <f t="shared" si="3"/>
        <v>2.3424077314079423</v>
      </c>
    </row>
    <row r="24" spans="1:15" ht="64.5">
      <c r="A24" s="212" t="s">
        <v>151</v>
      </c>
      <c r="B24" s="80">
        <f>[2]pb_spb_ekon!B26+[2]pb_spb_ekon!B61</f>
        <v>2466828</v>
      </c>
      <c r="C24" s="79">
        <f t="shared" si="7"/>
        <v>2.754943191015782E-2</v>
      </c>
      <c r="D24" s="79">
        <f t="shared" si="0"/>
        <v>8.6985718819422402E-3</v>
      </c>
      <c r="E24" s="80">
        <v>170660170</v>
      </c>
      <c r="F24" s="79">
        <f t="shared" si="4"/>
        <v>1.8171782801869338</v>
      </c>
      <c r="G24" s="79">
        <f t="shared" si="1"/>
        <v>0.55042789872601194</v>
      </c>
      <c r="H24" s="80">
        <f t="shared" si="5"/>
        <v>168193342</v>
      </c>
      <c r="I24" s="79">
        <f t="shared" si="6"/>
        <v>6818.2030526652043</v>
      </c>
      <c r="J24" s="80">
        <f>[2]pb_spb_ekon!J26+[2]pb_spb_ekon!J61</f>
        <v>167243675</v>
      </c>
      <c r="K24" s="79">
        <f t="shared" si="8"/>
        <v>1.6892597000051017</v>
      </c>
      <c r="L24" s="79">
        <f t="shared" si="2"/>
        <v>0.50968724286106115</v>
      </c>
      <c r="M24" s="80">
        <f>[2]pb_spb_ekon!M26+[2]pb_spb_ekon!M61</f>
        <v>164965102</v>
      </c>
      <c r="N24" s="79">
        <f t="shared" si="9"/>
        <v>1.6036161325942728</v>
      </c>
      <c r="O24" s="79">
        <f t="shared" si="3"/>
        <v>0.47643350758122749</v>
      </c>
    </row>
    <row r="25" spans="1:15">
      <c r="A25" s="209" t="s">
        <v>47</v>
      </c>
      <c r="B25" s="82">
        <f>B26+B27</f>
        <v>442282028</v>
      </c>
      <c r="C25" s="81">
        <f t="shared" si="7"/>
        <v>4.9393871868944714</v>
      </c>
      <c r="D25" s="81">
        <f t="shared" si="0"/>
        <v>1.5595825945907824</v>
      </c>
      <c r="E25" s="82">
        <v>717681077</v>
      </c>
      <c r="F25" s="81">
        <f t="shared" si="4"/>
        <v>7.6418209663424479</v>
      </c>
      <c r="G25" s="81">
        <f t="shared" si="1"/>
        <v>2.3147269053378485</v>
      </c>
      <c r="H25" s="82">
        <f t="shared" si="5"/>
        <v>275399049</v>
      </c>
      <c r="I25" s="81">
        <f t="shared" si="6"/>
        <v>62.267745819416376</v>
      </c>
      <c r="J25" s="82">
        <f>J26+J27</f>
        <v>577973229</v>
      </c>
      <c r="K25" s="81">
        <f t="shared" si="8"/>
        <v>5.8378703017110807</v>
      </c>
      <c r="L25" s="81">
        <f t="shared" si="2"/>
        <v>1.7614153810989546</v>
      </c>
      <c r="M25" s="82">
        <f>M26+M27</f>
        <v>516454646</v>
      </c>
      <c r="N25" s="81">
        <f t="shared" si="9"/>
        <v>5.0204254841661244</v>
      </c>
      <c r="O25" s="81">
        <f t="shared" si="3"/>
        <v>1.4915657646209386</v>
      </c>
    </row>
    <row r="26" spans="1:15">
      <c r="A26" s="210" t="s">
        <v>46</v>
      </c>
      <c r="B26" s="80">
        <f>[2]pb_spb_ekon!B28+[2]pb_spb_ekon!B63</f>
        <v>396355534</v>
      </c>
      <c r="C26" s="79">
        <f t="shared" si="7"/>
        <v>4.4264820231273694</v>
      </c>
      <c r="D26" s="79">
        <f t="shared" si="0"/>
        <v>1.3976357911068797</v>
      </c>
      <c r="E26" s="80">
        <v>543003333</v>
      </c>
      <c r="F26" s="79">
        <f t="shared" si="4"/>
        <v>5.7818638221016236</v>
      </c>
      <c r="G26" s="79">
        <f t="shared" si="1"/>
        <v>1.7513411804547654</v>
      </c>
      <c r="H26" s="80">
        <f t="shared" si="5"/>
        <v>146647799</v>
      </c>
      <c r="I26" s="79">
        <f t="shared" si="6"/>
        <v>36.999054238006437</v>
      </c>
      <c r="J26" s="80">
        <f>[2]pb_spb_ekon!J28+[2]pb_spb_ekon!J63</f>
        <v>488804087</v>
      </c>
      <c r="K26" s="79">
        <f t="shared" si="8"/>
        <v>4.9372094063759819</v>
      </c>
      <c r="L26" s="79">
        <f t="shared" si="2"/>
        <v>1.4896659464236734</v>
      </c>
      <c r="M26" s="80">
        <f>[2]pb_spb_ekon!M28+[2]pb_spb_ekon!M63</f>
        <v>452508846</v>
      </c>
      <c r="N26" s="79">
        <f t="shared" si="9"/>
        <v>4.3988120929190053</v>
      </c>
      <c r="O26" s="79">
        <f t="shared" si="3"/>
        <v>1.3068847537906136</v>
      </c>
    </row>
    <row r="27" spans="1:15">
      <c r="A27" s="210" t="s">
        <v>68</v>
      </c>
      <c r="B27" s="80">
        <f>B28+B32</f>
        <v>45926494</v>
      </c>
      <c r="C27" s="79">
        <f t="shared" si="7"/>
        <v>0.51290516376710171</v>
      </c>
      <c r="D27" s="79">
        <f t="shared" si="0"/>
        <v>0.16194680348390281</v>
      </c>
      <c r="E27" s="80">
        <v>174677744</v>
      </c>
      <c r="F27" s="79">
        <f t="shared" si="4"/>
        <v>1.8599571442408238</v>
      </c>
      <c r="G27" s="79">
        <f t="shared" si="1"/>
        <v>0.56338572488308336</v>
      </c>
      <c r="H27" s="80">
        <f t="shared" si="5"/>
        <v>128751250</v>
      </c>
      <c r="I27" s="79">
        <f t="shared" si="6"/>
        <v>280.34199606005194</v>
      </c>
      <c r="J27" s="80">
        <f>J28+J32</f>
        <v>89169142</v>
      </c>
      <c r="K27" s="79">
        <f t="shared" si="8"/>
        <v>0.90066089533509897</v>
      </c>
      <c r="L27" s="79">
        <f t="shared" si="2"/>
        <v>0.27174943467528112</v>
      </c>
      <c r="M27" s="80">
        <f>M28+M32</f>
        <v>63945800</v>
      </c>
      <c r="N27" s="79">
        <f t="shared" si="9"/>
        <v>0.62161339124711867</v>
      </c>
      <c r="O27" s="79">
        <f t="shared" si="3"/>
        <v>0.1846810108303249</v>
      </c>
    </row>
    <row r="28" spans="1:15" ht="64.5">
      <c r="A28" s="329" t="s">
        <v>152</v>
      </c>
      <c r="B28" s="80">
        <f>B30+B31+B29</f>
        <v>45647648</v>
      </c>
      <c r="C28" s="79">
        <f t="shared" si="7"/>
        <v>0.50979102330395631</v>
      </c>
      <c r="D28" s="79">
        <f t="shared" si="0"/>
        <v>0.16096353185937443</v>
      </c>
      <c r="E28" s="80">
        <v>156166656</v>
      </c>
      <c r="F28" s="79">
        <f t="shared" si="4"/>
        <v>1.662852295134972</v>
      </c>
      <c r="G28" s="79">
        <f t="shared" si="1"/>
        <v>0.50368216739235605</v>
      </c>
      <c r="H28" s="80">
        <f t="shared" si="5"/>
        <v>110519008</v>
      </c>
      <c r="I28" s="79">
        <f t="shared" si="6"/>
        <v>242.11325849691099</v>
      </c>
      <c r="J28" s="80">
        <f>J30+J31+J29</f>
        <v>72262198</v>
      </c>
      <c r="K28" s="79">
        <f t="shared" si="8"/>
        <v>0.72989079506408394</v>
      </c>
      <c r="L28" s="79">
        <f t="shared" si="2"/>
        <v>0.2202242952488343</v>
      </c>
      <c r="M28" s="80">
        <f>M30+M31+M29</f>
        <v>47166464</v>
      </c>
      <c r="N28" s="79">
        <f t="shared" si="9"/>
        <v>0.45850244488574909</v>
      </c>
      <c r="O28" s="79">
        <f t="shared" si="3"/>
        <v>0.13622083465703974</v>
      </c>
    </row>
    <row r="29" spans="1:15" ht="26.25">
      <c r="A29" s="330" t="s">
        <v>74</v>
      </c>
      <c r="B29" s="80">
        <f>[2]pb_spb_ekon!B33</f>
        <v>18935851</v>
      </c>
      <c r="C29" s="79">
        <f t="shared" si="7"/>
        <v>0.21147479183201826</v>
      </c>
      <c r="D29" s="79">
        <f t="shared" si="0"/>
        <v>6.6771927783067106E-2</v>
      </c>
      <c r="E29" s="80"/>
      <c r="F29" s="79">
        <f t="shared" si="4"/>
        <v>0</v>
      </c>
      <c r="G29" s="79">
        <f t="shared" si="1"/>
        <v>0</v>
      </c>
      <c r="H29" s="80">
        <f t="shared" si="5"/>
        <v>-18935851</v>
      </c>
      <c r="I29" s="79">
        <f t="shared" si="6"/>
        <v>-100</v>
      </c>
      <c r="J29" s="80">
        <f>[2]pb_spb_ekon!J33</f>
        <v>0</v>
      </c>
      <c r="K29" s="79">
        <f t="shared" si="8"/>
        <v>0</v>
      </c>
      <c r="L29" s="79">
        <f t="shared" si="2"/>
        <v>0</v>
      </c>
      <c r="M29" s="80">
        <f>[2]pb_spb_ekon!M33</f>
        <v>0</v>
      </c>
      <c r="N29" s="79">
        <f t="shared" si="9"/>
        <v>0</v>
      </c>
      <c r="O29" s="79">
        <f t="shared" si="3"/>
        <v>0</v>
      </c>
    </row>
    <row r="30" spans="1:15" ht="77.25">
      <c r="A30" s="330" t="s">
        <v>67</v>
      </c>
      <c r="B30" s="80">
        <f>[2]pb_spb_ekon!B34</f>
        <v>26005129</v>
      </c>
      <c r="C30" s="79">
        <f t="shared" si="7"/>
        <v>0.29042419280970161</v>
      </c>
      <c r="D30" s="79">
        <f t="shared" si="0"/>
        <v>9.169973905991044E-2</v>
      </c>
      <c r="E30" s="80">
        <v>114836824</v>
      </c>
      <c r="F30" s="79">
        <f t="shared" si="4"/>
        <v>1.2227749587876866</v>
      </c>
      <c r="G30" s="79">
        <f t="shared" si="1"/>
        <v>0.37038162876955333</v>
      </c>
      <c r="H30" s="80">
        <f t="shared" si="5"/>
        <v>88831695</v>
      </c>
      <c r="I30" s="79">
        <f t="shared" si="6"/>
        <v>341.59297960029346</v>
      </c>
      <c r="J30" s="80">
        <f>[2]pb_spb_ekon!J34</f>
        <v>51360172</v>
      </c>
      <c r="K30" s="79">
        <f t="shared" si="8"/>
        <v>0.51876801167476383</v>
      </c>
      <c r="L30" s="79">
        <f t="shared" si="2"/>
        <v>0.15652385335080607</v>
      </c>
      <c r="M30" s="80">
        <f>[2]pb_spb_ekon!M34</f>
        <v>34021206</v>
      </c>
      <c r="N30" s="79">
        <f t="shared" si="9"/>
        <v>0.33071815875283161</v>
      </c>
      <c r="O30" s="79">
        <f t="shared" si="3"/>
        <v>9.8256190613718403E-2</v>
      </c>
    </row>
    <row r="31" spans="1:15" ht="102.75">
      <c r="A31" s="330" t="s">
        <v>153</v>
      </c>
      <c r="B31" s="80">
        <f>[2]pb_spb_ekon!B35</f>
        <v>706668</v>
      </c>
      <c r="C31" s="79">
        <f t="shared" si="7"/>
        <v>7.8920386622364468E-3</v>
      </c>
      <c r="D31" s="79">
        <f t="shared" si="0"/>
        <v>2.491865016396911E-3</v>
      </c>
      <c r="E31" s="80">
        <v>41329832</v>
      </c>
      <c r="F31" s="79">
        <f t="shared" si="4"/>
        <v>0.44007733634728535</v>
      </c>
      <c r="G31" s="79">
        <f t="shared" si="1"/>
        <v>0.13330053862280275</v>
      </c>
      <c r="H31" s="80">
        <f t="shared" si="5"/>
        <v>40623164</v>
      </c>
      <c r="I31" s="79">
        <f t="shared" si="6"/>
        <v>5748.5500970752892</v>
      </c>
      <c r="J31" s="80">
        <f>[2]pb_spb_ekon!J35</f>
        <v>20902026</v>
      </c>
      <c r="K31" s="79">
        <f t="shared" si="8"/>
        <v>0.21112278338932</v>
      </c>
      <c r="L31" s="79">
        <f t="shared" si="2"/>
        <v>6.3700441898028232E-2</v>
      </c>
      <c r="M31" s="80">
        <f>[2]pb_spb_ekon!M35</f>
        <v>13145258</v>
      </c>
      <c r="N31" s="79">
        <f t="shared" si="9"/>
        <v>0.12778428613291751</v>
      </c>
      <c r="O31" s="79">
        <f t="shared" si="3"/>
        <v>3.7964644043321297E-2</v>
      </c>
    </row>
    <row r="32" spans="1:15" ht="26.25">
      <c r="A32" s="211" t="s">
        <v>135</v>
      </c>
      <c r="B32" s="258">
        <f>B33+B34</f>
        <v>278846</v>
      </c>
      <c r="C32" s="79">
        <f t="shared" si="7"/>
        <v>3.1141404631453303E-3</v>
      </c>
      <c r="D32" s="79">
        <f t="shared" si="0"/>
        <v>9.8327162452836844E-4</v>
      </c>
      <c r="E32" s="258">
        <v>18511088</v>
      </c>
      <c r="F32" s="286">
        <f t="shared" si="4"/>
        <v>0.19710484910585163</v>
      </c>
      <c r="G32" s="79">
        <f t="shared" si="1"/>
        <v>5.9703557490727303E-2</v>
      </c>
      <c r="H32" s="258">
        <f t="shared" si="5"/>
        <v>18232242</v>
      </c>
      <c r="I32" s="297" t="s">
        <v>137</v>
      </c>
      <c r="J32" s="258">
        <f>J33+J34</f>
        <v>16906944</v>
      </c>
      <c r="K32" s="286">
        <f t="shared" si="8"/>
        <v>0.17077010027101505</v>
      </c>
      <c r="L32" s="79">
        <f t="shared" si="2"/>
        <v>5.1525139426446827E-2</v>
      </c>
      <c r="M32" s="258">
        <f>M33+M34</f>
        <v>16779336</v>
      </c>
      <c r="N32" s="286">
        <f t="shared" si="9"/>
        <v>0.16311094636136952</v>
      </c>
      <c r="O32" s="79">
        <f t="shared" si="3"/>
        <v>4.8460176173285192E-2</v>
      </c>
    </row>
    <row r="33" spans="1:15" ht="26.25">
      <c r="A33" s="330" t="s">
        <v>154</v>
      </c>
      <c r="B33" s="80">
        <f>[2]pb_spb_ekon!B37</f>
        <v>270000</v>
      </c>
      <c r="C33" s="79">
        <f t="shared" si="7"/>
        <v>3.0153487051965571E-3</v>
      </c>
      <c r="D33" s="79">
        <f t="shared" si="0"/>
        <v>9.5207870517296101E-4</v>
      </c>
      <c r="E33" s="80">
        <v>18185851</v>
      </c>
      <c r="F33" s="286">
        <f t="shared" si="4"/>
        <v>0.19364174689334851</v>
      </c>
      <c r="G33" s="79">
        <f t="shared" si="1"/>
        <v>5.8654575068537343E-2</v>
      </c>
      <c r="H33" s="258">
        <f t="shared" si="5"/>
        <v>17915851</v>
      </c>
      <c r="I33" s="297">
        <f t="shared" si="6"/>
        <v>6635.5003703703705</v>
      </c>
      <c r="J33" s="80">
        <f>[2]pb_spb_ekon!J37</f>
        <v>16485851</v>
      </c>
      <c r="K33" s="286">
        <f t="shared" si="8"/>
        <v>0.16651681275593114</v>
      </c>
      <c r="L33" s="79">
        <f t="shared" si="2"/>
        <v>5.0241827934050527E-2</v>
      </c>
      <c r="M33" s="80">
        <f>[2]pb_spb_ekon!M37</f>
        <v>16485851</v>
      </c>
      <c r="N33" s="286">
        <f t="shared" si="9"/>
        <v>0.16025799579807748</v>
      </c>
      <c r="O33" s="79">
        <f t="shared" si="3"/>
        <v>4.7612566064981952E-2</v>
      </c>
    </row>
    <row r="34" spans="1:15" ht="64.5">
      <c r="A34" s="212" t="s">
        <v>136</v>
      </c>
      <c r="B34" s="80">
        <f>[2]pb_spb_ekon!B38</f>
        <v>8846</v>
      </c>
      <c r="C34" s="79">
        <f t="shared" si="7"/>
        <v>9.8791757948773118E-5</v>
      </c>
      <c r="D34" s="79">
        <f t="shared" si="0"/>
        <v>3.1192919355407458E-5</v>
      </c>
      <c r="E34" s="80">
        <v>325237</v>
      </c>
      <c r="F34" s="286">
        <f t="shared" si="4"/>
        <v>3.463102212503115E-3</v>
      </c>
      <c r="G34" s="79">
        <f>E34/$E$36/1000000*100</f>
        <v>1.0489824221899694E-3</v>
      </c>
      <c r="H34" s="258">
        <f t="shared" si="5"/>
        <v>316391</v>
      </c>
      <c r="I34" s="297" t="s">
        <v>137</v>
      </c>
      <c r="J34" s="80">
        <f>[2]pb_spb_ekon!J38</f>
        <v>421093</v>
      </c>
      <c r="K34" s="286">
        <f t="shared" si="8"/>
        <v>4.2532875150838936E-3</v>
      </c>
      <c r="L34" s="79">
        <f>J34/$J$36/1000000*100</f>
        <v>1.2833114923963061E-3</v>
      </c>
      <c r="M34" s="80">
        <f>[2]pb_spb_ekon!M38</f>
        <v>293485</v>
      </c>
      <c r="N34" s="286">
        <f t="shared" si="9"/>
        <v>2.8529505632920475E-3</v>
      </c>
      <c r="O34" s="79">
        <f>M34/$M$36/1000000*100</f>
        <v>8.4761010830324912E-4</v>
      </c>
    </row>
    <row r="35" spans="1:15">
      <c r="A35" s="213"/>
      <c r="B35" s="78"/>
      <c r="C35" s="77"/>
      <c r="D35" s="101"/>
      <c r="E35" s="78"/>
      <c r="F35" s="77"/>
      <c r="G35" s="101"/>
      <c r="H35" s="102"/>
      <c r="I35" s="103"/>
      <c r="K35" s="77"/>
      <c r="L35" s="101"/>
      <c r="N35" s="77"/>
      <c r="O35" s="101"/>
    </row>
    <row r="36" spans="1:15">
      <c r="A36" s="220" t="s">
        <v>121</v>
      </c>
      <c r="B36" s="255">
        <f>[2]pb_spb_ekon!B65</f>
        <v>28359</v>
      </c>
      <c r="C36" s="221"/>
      <c r="D36" s="221"/>
      <c r="E36" s="255">
        <f>[2]pb_spb_ekon!E65</f>
        <v>31005</v>
      </c>
      <c r="F36" s="222"/>
      <c r="G36" s="222"/>
      <c r="H36" s="222"/>
      <c r="I36" s="222"/>
      <c r="J36" s="255">
        <f>[2]pb_spb_ekon!J65</f>
        <v>32813</v>
      </c>
      <c r="K36" s="222"/>
      <c r="L36" s="222"/>
      <c r="M36" s="255">
        <f>[2]pb_spb_ekon!M65</f>
        <v>34625</v>
      </c>
      <c r="N36" s="222"/>
      <c r="O36" s="222"/>
    </row>
    <row r="37" spans="1:15">
      <c r="B37" s="73"/>
      <c r="C37" s="73"/>
      <c r="D37" s="73"/>
      <c r="F37" s="73"/>
      <c r="K37" s="73"/>
      <c r="N37" s="73"/>
    </row>
  </sheetData>
  <mergeCells count="2">
    <mergeCell ref="A2:I2"/>
    <mergeCell ref="A1:I1"/>
  </mergeCells>
  <pageMargins left="0.39370078740157483" right="0.19685039370078741" top="0.6692913385826772" bottom="0.43307086614173229" header="0.39370078740157483" footer="0.19685039370078741"/>
  <pageSetup paperSize="9" scale="70" firstPageNumber="937" orientation="landscape" useFirstPageNumber="1" r:id="rId1"/>
  <headerFooter alignWithMargins="0">
    <oddHeader>&amp;C&amp;P</oddHeader>
    <oddFooter>&amp;LFMPask_L_090519_bud2019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66"/>
  <sheetViews>
    <sheetView view="pageLayout" zoomScale="85" zoomScaleNormal="70" zoomScalePageLayoutView="85" workbookViewId="0">
      <selection activeCell="F54" sqref="F54"/>
    </sheetView>
  </sheetViews>
  <sheetFormatPr defaultColWidth="8.85546875" defaultRowHeight="15.75"/>
  <cols>
    <col min="1" max="1" width="48.42578125" style="214" customWidth="1"/>
    <col min="2" max="2" width="15.85546875" style="74" customWidth="1"/>
    <col min="3" max="3" width="8.28515625" style="74" customWidth="1"/>
    <col min="4" max="4" width="7.28515625" style="74" customWidth="1"/>
    <col min="5" max="5" width="17.140625" style="29" customWidth="1"/>
    <col min="6" max="7" width="7.42578125" style="74" customWidth="1"/>
    <col min="8" max="8" width="17.85546875" style="29" customWidth="1"/>
    <col min="9" max="9" width="14" style="29" customWidth="1"/>
    <col min="10" max="10" width="16" style="74" customWidth="1"/>
    <col min="11" max="11" width="7.42578125" style="74" customWidth="1"/>
    <col min="12" max="12" width="8.140625" style="74" customWidth="1"/>
    <col min="13" max="13" width="16.28515625" style="74" customWidth="1"/>
    <col min="14" max="14" width="7.42578125" style="74" customWidth="1"/>
    <col min="15" max="15" width="7.28515625" style="74" customWidth="1"/>
    <col min="16" max="16384" width="8.85546875" style="29"/>
  </cols>
  <sheetData>
    <row r="1" spans="1:15">
      <c r="A1" s="351"/>
      <c r="B1" s="351"/>
      <c r="C1" s="351"/>
      <c r="D1" s="351"/>
      <c r="E1" s="351"/>
      <c r="F1" s="351"/>
      <c r="G1" s="351"/>
      <c r="H1" s="351"/>
      <c r="I1" s="351"/>
      <c r="M1" s="251"/>
    </row>
    <row r="2" spans="1:15">
      <c r="A2" s="361" t="s">
        <v>132</v>
      </c>
      <c r="B2" s="361"/>
      <c r="C2" s="361"/>
      <c r="D2" s="361"/>
      <c r="E2" s="361"/>
      <c r="F2" s="361"/>
      <c r="G2" s="361"/>
      <c r="H2" s="361"/>
      <c r="I2" s="361"/>
      <c r="J2" s="29"/>
      <c r="K2" s="29"/>
      <c r="L2" s="29"/>
      <c r="M2" s="29"/>
      <c r="N2" s="29"/>
      <c r="O2" s="29"/>
    </row>
    <row r="3" spans="1:15">
      <c r="A3" s="215"/>
      <c r="B3" s="95"/>
      <c r="C3" s="95"/>
      <c r="D3" s="95"/>
      <c r="F3" s="86"/>
      <c r="G3" s="86"/>
      <c r="J3" s="95"/>
      <c r="K3" s="86"/>
      <c r="L3" s="86"/>
      <c r="M3" s="95"/>
      <c r="N3" s="86"/>
      <c r="O3" s="86"/>
    </row>
    <row r="4" spans="1:15" ht="63.75">
      <c r="A4" s="202" t="s">
        <v>45</v>
      </c>
      <c r="B4" s="199" t="s">
        <v>140</v>
      </c>
      <c r="C4" s="199" t="s">
        <v>1</v>
      </c>
      <c r="D4" s="199" t="s">
        <v>2</v>
      </c>
      <c r="E4" s="199" t="s">
        <v>158</v>
      </c>
      <c r="F4" s="199" t="s">
        <v>1</v>
      </c>
      <c r="G4" s="199" t="s">
        <v>2</v>
      </c>
      <c r="H4" s="199" t="s">
        <v>141</v>
      </c>
      <c r="I4" s="199" t="s">
        <v>142</v>
      </c>
      <c r="J4" s="199" t="s">
        <v>143</v>
      </c>
      <c r="K4" s="199" t="s">
        <v>1</v>
      </c>
      <c r="L4" s="199" t="s">
        <v>2</v>
      </c>
      <c r="M4" s="199" t="s">
        <v>144</v>
      </c>
      <c r="N4" s="199" t="s">
        <v>1</v>
      </c>
      <c r="O4" s="199" t="s">
        <v>2</v>
      </c>
    </row>
    <row r="5" spans="1:15">
      <c r="A5" s="216" t="s">
        <v>57</v>
      </c>
      <c r="B5" s="98">
        <f>B6+B27</f>
        <v>6489358029</v>
      </c>
      <c r="C5" s="94">
        <f>B5/B5*100</f>
        <v>100</v>
      </c>
      <c r="D5" s="94">
        <f t="shared" ref="D5:D38" si="0">B5/$B$65/1000000*100</f>
        <v>22.882887369089179</v>
      </c>
      <c r="E5" s="98">
        <v>6824828613</v>
      </c>
      <c r="F5" s="94">
        <f>E5/E5*100</f>
        <v>100</v>
      </c>
      <c r="G5" s="94">
        <f t="shared" ref="G5:G38" si="1">E5/$E$65/1000000*100</f>
        <v>22.012025844218673</v>
      </c>
      <c r="H5" s="98">
        <f>E5-B5</f>
        <v>335470584</v>
      </c>
      <c r="I5" s="94">
        <f>E5/B5*100-100</f>
        <v>5.1695496303460402</v>
      </c>
      <c r="J5" s="98">
        <v>7093021611</v>
      </c>
      <c r="K5" s="94">
        <f>J5/J5*100</f>
        <v>100</v>
      </c>
      <c r="L5" s="94">
        <f t="shared" ref="L5:L38" si="2">J5/$J$65/1000000*100</f>
        <v>21.616498372596226</v>
      </c>
      <c r="M5" s="98">
        <v>7296265715</v>
      </c>
      <c r="N5" s="94">
        <f>M5/M5*100</f>
        <v>100</v>
      </c>
      <c r="O5" s="94">
        <f t="shared" ref="O5:O38" si="3">M5/$M$65/1000000*100</f>
        <v>21.072247552346568</v>
      </c>
    </row>
    <row r="6" spans="1:15">
      <c r="A6" s="209" t="s">
        <v>54</v>
      </c>
      <c r="B6" s="99">
        <f>B7+B10+B11+B14+B17</f>
        <v>6048388880</v>
      </c>
      <c r="C6" s="81">
        <f>B6/$B$5*100</f>
        <v>93.204733857657828</v>
      </c>
      <c r="D6" s="81">
        <f t="shared" si="0"/>
        <v>21.327934271307168</v>
      </c>
      <c r="E6" s="99">
        <v>6108234815</v>
      </c>
      <c r="F6" s="81">
        <f t="shared" ref="F6:F38" si="4">E6/$E$5*100</f>
        <v>89.500193504712698</v>
      </c>
      <c r="G6" s="81">
        <f t="shared" si="1"/>
        <v>19.700805724883082</v>
      </c>
      <c r="H6" s="99">
        <f t="shared" ref="H6:H38" si="5">E6-B6</f>
        <v>59845935</v>
      </c>
      <c r="I6" s="81">
        <f t="shared" ref="I6:I38" si="6">E6/B6*100-100</f>
        <v>0.98945250028302212</v>
      </c>
      <c r="J6" s="99">
        <v>6516024061</v>
      </c>
      <c r="K6" s="81">
        <f>J6/$J$5*100</f>
        <v>91.865278556247731</v>
      </c>
      <c r="L6" s="81">
        <f t="shared" si="2"/>
        <v>19.858056444092281</v>
      </c>
      <c r="M6" s="99">
        <v>6780720548</v>
      </c>
      <c r="N6" s="81">
        <f>M6/$M$5*100</f>
        <v>92.934122917972701</v>
      </c>
      <c r="O6" s="81">
        <f t="shared" si="3"/>
        <v>19.583308441877257</v>
      </c>
    </row>
    <row r="7" spans="1:15">
      <c r="A7" s="210" t="s">
        <v>53</v>
      </c>
      <c r="B7" s="100">
        <f>B8+B9</f>
        <v>1929333126</v>
      </c>
      <c r="C7" s="79">
        <f t="shared" ref="C7:C38" si="7">B7/$B$5*100</f>
        <v>29.73072401581312</v>
      </c>
      <c r="D7" s="79">
        <f t="shared" si="0"/>
        <v>6.8032480905532626</v>
      </c>
      <c r="E7" s="100">
        <v>1939225704</v>
      </c>
      <c r="F7" s="286">
        <f t="shared" si="4"/>
        <v>28.414276957902562</v>
      </c>
      <c r="G7" s="286">
        <f t="shared" si="1"/>
        <v>6.254557987421383</v>
      </c>
      <c r="H7" s="100">
        <f t="shared" si="5"/>
        <v>9892578</v>
      </c>
      <c r="I7" s="286">
        <f t="shared" si="6"/>
        <v>0.51274597770007802</v>
      </c>
      <c r="J7" s="100">
        <v>1887071084</v>
      </c>
      <c r="K7" s="286">
        <f t="shared" ref="K7:K38" si="8">J7/$J$5*100</f>
        <v>26.604614894638022</v>
      </c>
      <c r="L7" s="286">
        <f t="shared" si="2"/>
        <v>5.7509861457349221</v>
      </c>
      <c r="M7" s="100">
        <v>1906463085</v>
      </c>
      <c r="N7" s="286">
        <f t="shared" ref="N7:N38" si="9">M7/$M$5*100</f>
        <v>26.129299006759105</v>
      </c>
      <c r="O7" s="286">
        <f t="shared" si="3"/>
        <v>5.5060305703971117</v>
      </c>
    </row>
    <row r="8" spans="1:15">
      <c r="A8" s="211" t="s">
        <v>58</v>
      </c>
      <c r="B8" s="100">
        <v>1061413166</v>
      </c>
      <c r="C8" s="79">
        <f t="shared" si="7"/>
        <v>16.356212143893099</v>
      </c>
      <c r="D8" s="79">
        <f t="shared" si="0"/>
        <v>3.742773602736345</v>
      </c>
      <c r="E8" s="100">
        <v>1174810610</v>
      </c>
      <c r="F8" s="286">
        <f t="shared" si="4"/>
        <v>17.213774537315256</v>
      </c>
      <c r="G8" s="286">
        <f t="shared" si="1"/>
        <v>3.7891004999193676</v>
      </c>
      <c r="H8" s="100">
        <f t="shared" si="5"/>
        <v>113397444</v>
      </c>
      <c r="I8" s="286">
        <f t="shared" si="6"/>
        <v>10.683628923442228</v>
      </c>
      <c r="J8" s="100">
        <v>1155831164</v>
      </c>
      <c r="K8" s="286">
        <f t="shared" si="8"/>
        <v>16.295328385966197</v>
      </c>
      <c r="L8" s="286">
        <f t="shared" si="2"/>
        <v>3.5224793953615947</v>
      </c>
      <c r="M8" s="100">
        <v>1152182041</v>
      </c>
      <c r="N8" s="286">
        <f t="shared" si="9"/>
        <v>15.791393652663869</v>
      </c>
      <c r="O8" s="286">
        <f t="shared" si="3"/>
        <v>3.3276015624548738</v>
      </c>
    </row>
    <row r="9" spans="1:15">
      <c r="A9" s="211" t="s">
        <v>52</v>
      </c>
      <c r="B9" s="100">
        <v>867919960</v>
      </c>
      <c r="C9" s="79">
        <f t="shared" si="7"/>
        <v>13.374511871920019</v>
      </c>
      <c r="D9" s="79">
        <f t="shared" si="0"/>
        <v>3.060474487816919</v>
      </c>
      <c r="E9" s="100">
        <v>764415094</v>
      </c>
      <c r="F9" s="286">
        <f t="shared" si="4"/>
        <v>11.200502420587306</v>
      </c>
      <c r="G9" s="286">
        <f t="shared" si="1"/>
        <v>2.4654574875020154</v>
      </c>
      <c r="H9" s="100">
        <f t="shared" si="5"/>
        <v>-103504866</v>
      </c>
      <c r="I9" s="286">
        <f t="shared" si="6"/>
        <v>-11.925623418085692</v>
      </c>
      <c r="J9" s="100">
        <v>731239920</v>
      </c>
      <c r="K9" s="286">
        <f t="shared" si="8"/>
        <v>10.309286508671827</v>
      </c>
      <c r="L9" s="286">
        <f t="shared" si="2"/>
        <v>2.2285067503733278</v>
      </c>
      <c r="M9" s="100">
        <v>754281044</v>
      </c>
      <c r="N9" s="286">
        <f t="shared" si="9"/>
        <v>10.337905354095236</v>
      </c>
      <c r="O9" s="286">
        <f t="shared" si="3"/>
        <v>2.1784290079422384</v>
      </c>
    </row>
    <row r="10" spans="1:15">
      <c r="A10" s="210" t="s">
        <v>51</v>
      </c>
      <c r="B10" s="96">
        <v>235011150</v>
      </c>
      <c r="C10" s="79">
        <f t="shared" si="7"/>
        <v>3.6214853449257887</v>
      </c>
      <c r="D10" s="79">
        <f t="shared" si="0"/>
        <v>0.82870041256743898</v>
      </c>
      <c r="E10" s="96">
        <v>224355901</v>
      </c>
      <c r="F10" s="286">
        <f t="shared" si="4"/>
        <v>3.2873484994574764</v>
      </c>
      <c r="G10" s="286">
        <f t="shared" si="1"/>
        <v>0.72361200129011449</v>
      </c>
      <c r="H10" s="96">
        <f t="shared" si="5"/>
        <v>-10655249</v>
      </c>
      <c r="I10" s="286">
        <f t="shared" si="6"/>
        <v>-4.5339333899689507</v>
      </c>
      <c r="J10" s="96">
        <v>255526509</v>
      </c>
      <c r="K10" s="286">
        <f t="shared" si="8"/>
        <v>3.6025057163751533</v>
      </c>
      <c r="L10" s="286">
        <f t="shared" si="2"/>
        <v>0.7787355895529211</v>
      </c>
      <c r="M10" s="96">
        <v>275723408</v>
      </c>
      <c r="N10" s="286">
        <f t="shared" si="9"/>
        <v>3.7789661008802775</v>
      </c>
      <c r="O10" s="286">
        <f t="shared" si="3"/>
        <v>0.79631309169675091</v>
      </c>
    </row>
    <row r="11" spans="1:15">
      <c r="A11" s="210" t="s">
        <v>50</v>
      </c>
      <c r="B11" s="100">
        <f>B12+B13</f>
        <v>2579127082</v>
      </c>
      <c r="C11" s="79">
        <f t="shared" si="7"/>
        <v>39.743948021888379</v>
      </c>
      <c r="D11" s="79">
        <f t="shared" si="0"/>
        <v>9.0945628618780638</v>
      </c>
      <c r="E11" s="100">
        <v>2516743543</v>
      </c>
      <c r="F11" s="286">
        <f t="shared" si="4"/>
        <v>36.876289291808476</v>
      </c>
      <c r="G11" s="286">
        <f t="shared" si="1"/>
        <v>8.1172183293017266</v>
      </c>
      <c r="H11" s="100">
        <f t="shared" si="5"/>
        <v>-62383539</v>
      </c>
      <c r="I11" s="286">
        <f t="shared" si="6"/>
        <v>-2.4187850003740152</v>
      </c>
      <c r="J11" s="100">
        <v>2813476029</v>
      </c>
      <c r="K11" s="286">
        <f t="shared" si="8"/>
        <v>39.665408951197961</v>
      </c>
      <c r="L11" s="286">
        <f t="shared" si="2"/>
        <v>8.5742724804193475</v>
      </c>
      <c r="M11" s="100">
        <v>3029384163</v>
      </c>
      <c r="N11" s="286">
        <f t="shared" si="9"/>
        <v>41.519652399336991</v>
      </c>
      <c r="O11" s="286">
        <f t="shared" si="3"/>
        <v>8.7491239364620945</v>
      </c>
    </row>
    <row r="12" spans="1:15">
      <c r="A12" s="211" t="s">
        <v>49</v>
      </c>
      <c r="B12" s="100">
        <v>2163936085</v>
      </c>
      <c r="C12" s="79">
        <f t="shared" si="7"/>
        <v>33.34591920078509</v>
      </c>
      <c r="D12" s="79">
        <f t="shared" si="0"/>
        <v>7.6305091329031347</v>
      </c>
      <c r="E12" s="100">
        <v>2083899967</v>
      </c>
      <c r="F12" s="286">
        <f t="shared" si="4"/>
        <v>30.534099611389028</v>
      </c>
      <c r="G12" s="286">
        <f t="shared" si="1"/>
        <v>6.7211738977584261</v>
      </c>
      <c r="H12" s="100">
        <f t="shared" si="5"/>
        <v>-80036118</v>
      </c>
      <c r="I12" s="286">
        <f t="shared" si="6"/>
        <v>-3.6986359511630411</v>
      </c>
      <c r="J12" s="100">
        <v>2367465534</v>
      </c>
      <c r="K12" s="286">
        <f t="shared" si="8"/>
        <v>33.377390678303968</v>
      </c>
      <c r="L12" s="286">
        <f t="shared" si="2"/>
        <v>7.2150231127906626</v>
      </c>
      <c r="M12" s="331">
        <v>2580727115</v>
      </c>
      <c r="N12" s="286">
        <f t="shared" si="9"/>
        <v>35.370519876961467</v>
      </c>
      <c r="O12" s="286">
        <f t="shared" si="3"/>
        <v>7.4533635090252712</v>
      </c>
    </row>
    <row r="13" spans="1:15">
      <c r="A13" s="211" t="s">
        <v>48</v>
      </c>
      <c r="B13" s="100">
        <v>415190997</v>
      </c>
      <c r="C13" s="79">
        <f t="shared" si="7"/>
        <v>6.3980288211032841</v>
      </c>
      <c r="D13" s="79">
        <f t="shared" si="0"/>
        <v>1.4640537289749285</v>
      </c>
      <c r="E13" s="100">
        <v>432843576</v>
      </c>
      <c r="F13" s="286">
        <f t="shared" si="4"/>
        <v>6.3421896804194517</v>
      </c>
      <c r="G13" s="286">
        <f t="shared" si="1"/>
        <v>1.3960444315432994</v>
      </c>
      <c r="H13" s="100">
        <f t="shared" si="5"/>
        <v>17652579</v>
      </c>
      <c r="I13" s="286">
        <f t="shared" si="6"/>
        <v>4.2516767289152</v>
      </c>
      <c r="J13" s="100">
        <v>446010495</v>
      </c>
      <c r="K13" s="286">
        <f t="shared" si="8"/>
        <v>6.2880182728939946</v>
      </c>
      <c r="L13" s="286">
        <f t="shared" si="2"/>
        <v>1.3592493676286839</v>
      </c>
      <c r="M13" s="331">
        <v>448657048</v>
      </c>
      <c r="N13" s="286">
        <f t="shared" si="9"/>
        <v>6.1491325223755231</v>
      </c>
      <c r="O13" s="286">
        <f t="shared" si="3"/>
        <v>1.2957604274368233</v>
      </c>
    </row>
    <row r="14" spans="1:15" ht="26.25">
      <c r="A14" s="210" t="s">
        <v>59</v>
      </c>
      <c r="B14" s="100">
        <f>B15+B16</f>
        <v>317414658</v>
      </c>
      <c r="C14" s="79">
        <f t="shared" si="7"/>
        <v>4.8913106131842303</v>
      </c>
      <c r="D14" s="79">
        <f t="shared" si="0"/>
        <v>1.1192730984872528</v>
      </c>
      <c r="E14" s="100">
        <v>320101882</v>
      </c>
      <c r="F14" s="286">
        <f t="shared" si="4"/>
        <v>4.6902552452418629</v>
      </c>
      <c r="G14" s="286">
        <f t="shared" si="1"/>
        <v>1.0324201967424609</v>
      </c>
      <c r="H14" s="100">
        <f t="shared" si="5"/>
        <v>2687224</v>
      </c>
      <c r="I14" s="286">
        <f t="shared" si="6"/>
        <v>0.84659732380727348</v>
      </c>
      <c r="J14" s="100">
        <v>350808106</v>
      </c>
      <c r="K14" s="286">
        <f t="shared" si="8"/>
        <v>4.9458203462394605</v>
      </c>
      <c r="L14" s="286">
        <f t="shared" si="2"/>
        <v>1.0691131746563862</v>
      </c>
      <c r="M14" s="100">
        <v>366456400</v>
      </c>
      <c r="N14" s="286">
        <f t="shared" si="9"/>
        <v>5.0225199343634372</v>
      </c>
      <c r="O14" s="286">
        <f t="shared" si="3"/>
        <v>1.0583578339350181</v>
      </c>
    </row>
    <row r="15" spans="1:15">
      <c r="A15" s="211" t="s">
        <v>60</v>
      </c>
      <c r="B15" s="100">
        <v>282874574</v>
      </c>
      <c r="C15" s="79">
        <f t="shared" si="7"/>
        <v>4.3590532797832164</v>
      </c>
      <c r="D15" s="79">
        <f t="shared" si="0"/>
        <v>0.9974772523713813</v>
      </c>
      <c r="E15" s="100">
        <v>273111757</v>
      </c>
      <c r="F15" s="286">
        <f t="shared" si="4"/>
        <v>4.0017379554377976</v>
      </c>
      <c r="G15" s="286">
        <f t="shared" si="1"/>
        <v>0.88086359296887606</v>
      </c>
      <c r="H15" s="100">
        <f t="shared" si="5"/>
        <v>-9762817</v>
      </c>
      <c r="I15" s="286">
        <f t="shared" si="6"/>
        <v>-3.4512882730846002</v>
      </c>
      <c r="J15" s="100">
        <v>320191201</v>
      </c>
      <c r="K15" s="286">
        <f t="shared" si="8"/>
        <v>4.5141720772913061</v>
      </c>
      <c r="L15" s="286">
        <f t="shared" si="2"/>
        <v>0.97580593362386858</v>
      </c>
      <c r="M15" s="100">
        <v>339009400</v>
      </c>
      <c r="N15" s="286">
        <f t="shared" si="9"/>
        <v>4.6463412003081084</v>
      </c>
      <c r="O15" s="286">
        <f t="shared" si="3"/>
        <v>0.97908851985559553</v>
      </c>
    </row>
    <row r="16" spans="1:15">
      <c r="A16" s="211" t="s">
        <v>61</v>
      </c>
      <c r="B16" s="100">
        <v>34540084</v>
      </c>
      <c r="C16" s="79">
        <f t="shared" si="7"/>
        <v>0.532257333401014</v>
      </c>
      <c r="D16" s="79">
        <f t="shared" si="0"/>
        <v>0.12179584611587151</v>
      </c>
      <c r="E16" s="100">
        <v>46990125</v>
      </c>
      <c r="F16" s="286">
        <f t="shared" si="4"/>
        <v>0.68851728980406557</v>
      </c>
      <c r="G16" s="286">
        <f t="shared" si="1"/>
        <v>0.1515566037735849</v>
      </c>
      <c r="H16" s="100">
        <f t="shared" si="5"/>
        <v>12450041</v>
      </c>
      <c r="I16" s="286">
        <f t="shared" si="6"/>
        <v>36.045196068428766</v>
      </c>
      <c r="J16" s="100">
        <v>30616905</v>
      </c>
      <c r="K16" s="286">
        <f t="shared" si="8"/>
        <v>0.43164826894815445</v>
      </c>
      <c r="L16" s="286">
        <f t="shared" si="2"/>
        <v>9.3307241032517599E-2</v>
      </c>
      <c r="M16" s="100">
        <v>27447000</v>
      </c>
      <c r="N16" s="286">
        <f t="shared" si="9"/>
        <v>0.37617873405532898</v>
      </c>
      <c r="O16" s="286">
        <f t="shared" si="3"/>
        <v>7.9269314079422379E-2</v>
      </c>
    </row>
    <row r="17" spans="1:15" ht="39">
      <c r="A17" s="328" t="s">
        <v>148</v>
      </c>
      <c r="B17" s="100">
        <f>B18+B20+B24</f>
        <v>987502864</v>
      </c>
      <c r="C17" s="79">
        <f t="shared" si="7"/>
        <v>15.217265861846316</v>
      </c>
      <c r="D17" s="79">
        <f t="shared" si="0"/>
        <v>3.4821498078211501</v>
      </c>
      <c r="E17" s="100">
        <v>1107807785</v>
      </c>
      <c r="F17" s="286">
        <f t="shared" si="4"/>
        <v>16.232023510302323</v>
      </c>
      <c r="G17" s="286">
        <f t="shared" si="1"/>
        <v>3.572997210127399</v>
      </c>
      <c r="H17" s="100">
        <f t="shared" si="5"/>
        <v>120304921</v>
      </c>
      <c r="I17" s="286">
        <f t="shared" si="6"/>
        <v>12.182741477092065</v>
      </c>
      <c r="J17" s="100">
        <v>1209142333</v>
      </c>
      <c r="K17" s="286">
        <f t="shared" si="8"/>
        <v>17.04692864779712</v>
      </c>
      <c r="L17" s="286">
        <f t="shared" si="2"/>
        <v>3.6849490537287046</v>
      </c>
      <c r="M17" s="100">
        <v>1202693492</v>
      </c>
      <c r="N17" s="286">
        <f t="shared" si="9"/>
        <v>16.483685476632893</v>
      </c>
      <c r="O17" s="286">
        <f t="shared" si="3"/>
        <v>3.4734830093862814</v>
      </c>
    </row>
    <row r="18" spans="1:15" ht="26.25">
      <c r="A18" s="332" t="s">
        <v>155</v>
      </c>
      <c r="B18" s="100">
        <f>B19</f>
        <v>185812497</v>
      </c>
      <c r="C18" s="79">
        <f t="shared" si="7"/>
        <v>2.8633417384220579</v>
      </c>
      <c r="D18" s="79">
        <f t="shared" si="0"/>
        <v>0.65521526499523963</v>
      </c>
      <c r="E18" s="100">
        <v>199033623</v>
      </c>
      <c r="F18" s="286">
        <f t="shared" si="4"/>
        <v>2.9163167939613723</v>
      </c>
      <c r="G18" s="286">
        <f t="shared" si="1"/>
        <v>0.64194040638606675</v>
      </c>
      <c r="H18" s="100">
        <f t="shared" si="5"/>
        <v>13221126</v>
      </c>
      <c r="I18" s="286">
        <f t="shared" si="6"/>
        <v>7.1153050593792955</v>
      </c>
      <c r="J18" s="100">
        <v>199900291</v>
      </c>
      <c r="K18" s="286">
        <f t="shared" si="8"/>
        <v>2.8182670512379464</v>
      </c>
      <c r="L18" s="286">
        <f t="shared" si="2"/>
        <v>0.6092106512662665</v>
      </c>
      <c r="M18" s="100">
        <v>198222238</v>
      </c>
      <c r="N18" s="286">
        <f t="shared" si="9"/>
        <v>2.7167628721701509</v>
      </c>
      <c r="O18" s="286">
        <f t="shared" si="3"/>
        <v>0.57248299783393508</v>
      </c>
    </row>
    <row r="19" spans="1:15" ht="39">
      <c r="A19" s="333" t="s">
        <v>62</v>
      </c>
      <c r="B19" s="100">
        <v>185812497</v>
      </c>
      <c r="C19" s="79">
        <f t="shared" si="7"/>
        <v>2.8633417384220579</v>
      </c>
      <c r="D19" s="79">
        <f t="shared" si="0"/>
        <v>0.65521526499523963</v>
      </c>
      <c r="E19" s="100">
        <v>199033623</v>
      </c>
      <c r="F19" s="286">
        <f t="shared" si="4"/>
        <v>2.9163167939613723</v>
      </c>
      <c r="G19" s="286">
        <f t="shared" si="1"/>
        <v>0.64194040638606675</v>
      </c>
      <c r="H19" s="100">
        <f t="shared" si="5"/>
        <v>13221126</v>
      </c>
      <c r="I19" s="286">
        <f t="shared" si="6"/>
        <v>7.1153050593792955</v>
      </c>
      <c r="J19" s="100">
        <v>199900291</v>
      </c>
      <c r="K19" s="286">
        <f t="shared" si="8"/>
        <v>2.8182670512379464</v>
      </c>
      <c r="L19" s="286">
        <f t="shared" si="2"/>
        <v>0.6092106512662665</v>
      </c>
      <c r="M19" s="100">
        <v>198222238</v>
      </c>
      <c r="N19" s="286">
        <f t="shared" si="9"/>
        <v>2.7167628721701509</v>
      </c>
      <c r="O19" s="286">
        <f t="shared" si="3"/>
        <v>0.57248299783393508</v>
      </c>
    </row>
    <row r="20" spans="1:15" ht="64.5">
      <c r="A20" s="329" t="s">
        <v>149</v>
      </c>
      <c r="B20" s="100">
        <f>SUM(B21:B23)</f>
        <v>740157474</v>
      </c>
      <c r="C20" s="79">
        <f t="shared" si="7"/>
        <v>11.405711792943826</v>
      </c>
      <c r="D20" s="79">
        <f t="shared" si="0"/>
        <v>2.6099561832222578</v>
      </c>
      <c r="E20" s="100">
        <v>105833768</v>
      </c>
      <c r="F20" s="286">
        <f t="shared" si="4"/>
        <v>1.5507168604704125</v>
      </c>
      <c r="G20" s="286">
        <f t="shared" si="1"/>
        <v>0.34134419609740368</v>
      </c>
      <c r="H20" s="100">
        <f t="shared" si="5"/>
        <v>-634323706</v>
      </c>
      <c r="I20" s="286">
        <f t="shared" si="6"/>
        <v>-85.701182286514339</v>
      </c>
      <c r="J20" s="100">
        <v>70755119</v>
      </c>
      <c r="K20" s="286">
        <f t="shared" si="8"/>
        <v>0.99753141722099847</v>
      </c>
      <c r="L20" s="286">
        <f t="shared" si="2"/>
        <v>0.21563136256971321</v>
      </c>
      <c r="M20" s="100">
        <v>34709868</v>
      </c>
      <c r="N20" s="286">
        <f t="shared" si="9"/>
        <v>0.47572099695659181</v>
      </c>
      <c r="O20" s="286">
        <f t="shared" si="3"/>
        <v>0.10024510613718411</v>
      </c>
    </row>
    <row r="21" spans="1:15" ht="26.25">
      <c r="A21" s="330" t="s">
        <v>63</v>
      </c>
      <c r="B21" s="334">
        <v>504694795</v>
      </c>
      <c r="C21" s="79">
        <f t="shared" si="7"/>
        <v>7.7772684562108019</v>
      </c>
      <c r="D21" s="79">
        <f t="shared" si="0"/>
        <v>1.7796635812264185</v>
      </c>
      <c r="E21" s="334"/>
      <c r="F21" s="286">
        <f t="shared" si="4"/>
        <v>0</v>
      </c>
      <c r="G21" s="286">
        <f t="shared" si="1"/>
        <v>0</v>
      </c>
      <c r="H21" s="334">
        <f t="shared" si="5"/>
        <v>-504694795</v>
      </c>
      <c r="I21" s="286">
        <f t="shared" si="6"/>
        <v>-100</v>
      </c>
      <c r="J21" s="334"/>
      <c r="K21" s="286">
        <f t="shared" si="8"/>
        <v>0</v>
      </c>
      <c r="L21" s="286">
        <f t="shared" si="2"/>
        <v>0</v>
      </c>
      <c r="M21" s="334"/>
      <c r="N21" s="286">
        <f t="shared" si="9"/>
        <v>0</v>
      </c>
      <c r="O21" s="286">
        <f t="shared" si="3"/>
        <v>0</v>
      </c>
    </row>
    <row r="22" spans="1:15" ht="64.5">
      <c r="A22" s="330" t="s">
        <v>64</v>
      </c>
      <c r="B22" s="335">
        <v>29934914</v>
      </c>
      <c r="C22" s="79">
        <f t="shared" si="7"/>
        <v>0.46129237847912247</v>
      </c>
      <c r="D22" s="79">
        <f t="shared" si="0"/>
        <v>0.10555701540957015</v>
      </c>
      <c r="E22" s="335">
        <v>44800346</v>
      </c>
      <c r="F22" s="286">
        <f t="shared" si="4"/>
        <v>0.65643181009210794</v>
      </c>
      <c r="G22" s="286">
        <f t="shared" si="1"/>
        <v>0.14449393968714724</v>
      </c>
      <c r="H22" s="335">
        <f t="shared" si="5"/>
        <v>14865432</v>
      </c>
      <c r="I22" s="286">
        <f t="shared" si="6"/>
        <v>49.659177240328802</v>
      </c>
      <c r="J22" s="335">
        <v>26552162</v>
      </c>
      <c r="K22" s="286">
        <f t="shared" si="8"/>
        <v>0.37434204287242512</v>
      </c>
      <c r="L22" s="286">
        <f t="shared" si="2"/>
        <v>8.0919641605461251E-2</v>
      </c>
      <c r="M22" s="335">
        <v>4487000</v>
      </c>
      <c r="N22" s="286">
        <f t="shared" si="9"/>
        <v>6.1497212070764071E-2</v>
      </c>
      <c r="O22" s="286">
        <f t="shared" si="3"/>
        <v>1.295884476534296E-2</v>
      </c>
    </row>
    <row r="23" spans="1:15" ht="77.25">
      <c r="A23" s="330" t="s">
        <v>150</v>
      </c>
      <c r="B23" s="335">
        <v>205527765</v>
      </c>
      <c r="C23" s="79">
        <f t="shared" si="7"/>
        <v>3.1671509582539019</v>
      </c>
      <c r="D23" s="79">
        <f t="shared" si="0"/>
        <v>0.72473558658626891</v>
      </c>
      <c r="E23" s="335">
        <v>61033422</v>
      </c>
      <c r="F23" s="286">
        <f t="shared" si="4"/>
        <v>0.89428505037830475</v>
      </c>
      <c r="G23" s="286">
        <f t="shared" si="1"/>
        <v>0.19685025641025641</v>
      </c>
      <c r="H23" s="335">
        <f t="shared" si="5"/>
        <v>-144494343</v>
      </c>
      <c r="I23" s="286">
        <f t="shared" si="6"/>
        <v>-70.304050160814043</v>
      </c>
      <c r="J23" s="336">
        <v>44202957</v>
      </c>
      <c r="K23" s="286">
        <f t="shared" si="8"/>
        <v>0.62318937434857336</v>
      </c>
      <c r="L23" s="286">
        <f t="shared" si="2"/>
        <v>0.13471172096425199</v>
      </c>
      <c r="M23" s="335">
        <v>30222868</v>
      </c>
      <c r="N23" s="286">
        <f t="shared" si="9"/>
        <v>0.41422378488582773</v>
      </c>
      <c r="O23" s="286">
        <f t="shared" si="3"/>
        <v>8.7286261371841159E-2</v>
      </c>
    </row>
    <row r="24" spans="1:15" ht="26.25">
      <c r="A24" s="329" t="s">
        <v>65</v>
      </c>
      <c r="B24" s="100">
        <f>SUM(B25:B26)</f>
        <v>61532893</v>
      </c>
      <c r="C24" s="79">
        <f t="shared" si="7"/>
        <v>0.94821233048043319</v>
      </c>
      <c r="D24" s="79">
        <f t="shared" si="0"/>
        <v>0.21697835960365316</v>
      </c>
      <c r="E24" s="100">
        <v>802940394</v>
      </c>
      <c r="F24" s="286">
        <f t="shared" si="4"/>
        <v>11.764989855870539</v>
      </c>
      <c r="G24" s="286">
        <f t="shared" si="1"/>
        <v>2.5897126076439281</v>
      </c>
      <c r="H24" s="100">
        <f t="shared" si="5"/>
        <v>741407501</v>
      </c>
      <c r="I24" s="286">
        <f t="shared" si="6"/>
        <v>1204.8962186777078</v>
      </c>
      <c r="J24" s="100">
        <v>938486923</v>
      </c>
      <c r="K24" s="286">
        <f t="shared" si="8"/>
        <v>13.231130179338177</v>
      </c>
      <c r="L24" s="286">
        <f t="shared" si="2"/>
        <v>2.8601070398927253</v>
      </c>
      <c r="M24" s="100">
        <v>969761386</v>
      </c>
      <c r="N24" s="286">
        <f t="shared" si="9"/>
        <v>13.291201607506148</v>
      </c>
      <c r="O24" s="286">
        <f t="shared" si="3"/>
        <v>2.8007549054151624</v>
      </c>
    </row>
    <row r="25" spans="1:15" ht="26.25">
      <c r="A25" s="330" t="s">
        <v>66</v>
      </c>
      <c r="B25" s="335">
        <v>59066065</v>
      </c>
      <c r="C25" s="79">
        <f t="shared" si="7"/>
        <v>0.91019889388198827</v>
      </c>
      <c r="D25" s="79">
        <f t="shared" si="0"/>
        <v>0.20827978772171094</v>
      </c>
      <c r="E25" s="335">
        <v>632411851</v>
      </c>
      <c r="F25" s="286">
        <f t="shared" si="4"/>
        <v>9.2663404000413401</v>
      </c>
      <c r="G25" s="286">
        <f t="shared" si="1"/>
        <v>2.0397092436703756</v>
      </c>
      <c r="H25" s="335">
        <f t="shared" si="5"/>
        <v>573345786</v>
      </c>
      <c r="I25" s="286">
        <f t="shared" si="6"/>
        <v>970.68559755927549</v>
      </c>
      <c r="J25" s="337">
        <v>771374875</v>
      </c>
      <c r="K25" s="286">
        <f t="shared" si="8"/>
        <v>10.875123710376638</v>
      </c>
      <c r="L25" s="286">
        <f t="shared" si="2"/>
        <v>2.350820939871392</v>
      </c>
      <c r="M25" s="331">
        <v>804927911</v>
      </c>
      <c r="N25" s="286">
        <f t="shared" si="9"/>
        <v>11.03205314117319</v>
      </c>
      <c r="O25" s="286">
        <f t="shared" si="3"/>
        <v>2.3247015480144402</v>
      </c>
    </row>
    <row r="26" spans="1:15" ht="51.75">
      <c r="A26" s="330" t="s">
        <v>156</v>
      </c>
      <c r="B26" s="335">
        <v>2466828</v>
      </c>
      <c r="C26" s="79">
        <f t="shared" si="7"/>
        <v>3.8013436598444771E-2</v>
      </c>
      <c r="D26" s="79">
        <f t="shared" si="0"/>
        <v>8.6985718819422402E-3</v>
      </c>
      <c r="E26" s="335">
        <v>170528543</v>
      </c>
      <c r="F26" s="286">
        <f t="shared" si="4"/>
        <v>2.4986494558291996</v>
      </c>
      <c r="G26" s="286">
        <f t="shared" si="1"/>
        <v>0.55000336397355265</v>
      </c>
      <c r="H26" s="335">
        <f t="shared" si="5"/>
        <v>168061715</v>
      </c>
      <c r="I26" s="286">
        <f t="shared" si="6"/>
        <v>6812.8671719309168</v>
      </c>
      <c r="J26" s="335">
        <v>167112048</v>
      </c>
      <c r="K26" s="286">
        <f t="shared" si="8"/>
        <v>2.3560064689615396</v>
      </c>
      <c r="L26" s="286">
        <f t="shared" si="2"/>
        <v>0.50928610002133301</v>
      </c>
      <c r="M26" s="335">
        <v>164833475</v>
      </c>
      <c r="N26" s="286">
        <f t="shared" si="9"/>
        <v>2.2591484663329586</v>
      </c>
      <c r="O26" s="286">
        <f t="shared" si="3"/>
        <v>0.47605335740072202</v>
      </c>
    </row>
    <row r="27" spans="1:15">
      <c r="A27" s="338" t="s">
        <v>47</v>
      </c>
      <c r="B27" s="105">
        <f>B28+B29</f>
        <v>440969149</v>
      </c>
      <c r="C27" s="81">
        <f t="shared" si="7"/>
        <v>6.7952661423421672</v>
      </c>
      <c r="D27" s="256">
        <f t="shared" si="0"/>
        <v>1.5549530977820092</v>
      </c>
      <c r="E27" s="105">
        <v>716593798</v>
      </c>
      <c r="F27" s="81">
        <f t="shared" si="4"/>
        <v>10.499806495287297</v>
      </c>
      <c r="G27" s="81">
        <f t="shared" si="1"/>
        <v>2.3112201193355908</v>
      </c>
      <c r="H27" s="105">
        <f t="shared" si="5"/>
        <v>275624649</v>
      </c>
      <c r="I27" s="81">
        <f t="shared" si="6"/>
        <v>62.504293015745645</v>
      </c>
      <c r="J27" s="105">
        <v>576997550</v>
      </c>
      <c r="K27" s="81">
        <f t="shared" si="8"/>
        <v>8.1347214437522748</v>
      </c>
      <c r="L27" s="81">
        <f t="shared" si="2"/>
        <v>1.7584419285039465</v>
      </c>
      <c r="M27" s="105">
        <v>515545167</v>
      </c>
      <c r="N27" s="81">
        <f t="shared" si="9"/>
        <v>7.0658770820272956</v>
      </c>
      <c r="O27" s="81">
        <f t="shared" si="3"/>
        <v>1.4889391104693142</v>
      </c>
    </row>
    <row r="28" spans="1:15">
      <c r="A28" s="328" t="s">
        <v>46</v>
      </c>
      <c r="B28" s="257">
        <v>394486455</v>
      </c>
      <c r="C28" s="79">
        <f t="shared" si="7"/>
        <v>6.0789750424787359</v>
      </c>
      <c r="D28" s="79">
        <f t="shared" si="0"/>
        <v>1.3910450121654503</v>
      </c>
      <c r="E28" s="257">
        <v>541887254</v>
      </c>
      <c r="F28" s="286">
        <f t="shared" si="4"/>
        <v>7.9399393703133851</v>
      </c>
      <c r="G28" s="286">
        <f t="shared" si="1"/>
        <v>1.7477415062086759</v>
      </c>
      <c r="H28" s="257">
        <f t="shared" si="5"/>
        <v>147400799</v>
      </c>
      <c r="I28" s="286">
        <f t="shared" si="6"/>
        <v>37.365237039634223</v>
      </c>
      <c r="J28" s="257">
        <v>487799608</v>
      </c>
      <c r="K28" s="286">
        <f t="shared" si="8"/>
        <v>6.8771763960723113</v>
      </c>
      <c r="L28" s="286">
        <f t="shared" si="2"/>
        <v>1.486604723737543</v>
      </c>
      <c r="M28" s="257">
        <v>451570567</v>
      </c>
      <c r="N28" s="286">
        <f t="shared" si="9"/>
        <v>6.1890641684230383</v>
      </c>
      <c r="O28" s="286">
        <f t="shared" si="3"/>
        <v>1.3041749227436823</v>
      </c>
    </row>
    <row r="29" spans="1:15">
      <c r="A29" s="328" t="s">
        <v>68</v>
      </c>
      <c r="B29" s="257">
        <f>B30+B32+B36</f>
        <v>46482694</v>
      </c>
      <c r="C29" s="79">
        <f t="shared" si="7"/>
        <v>0.71629109986343142</v>
      </c>
      <c r="D29" s="79">
        <f t="shared" si="0"/>
        <v>0.16390808561655912</v>
      </c>
      <c r="E29" s="257">
        <v>174706544</v>
      </c>
      <c r="F29" s="286">
        <f t="shared" si="4"/>
        <v>2.5598671249739118</v>
      </c>
      <c r="G29" s="286">
        <f t="shared" si="1"/>
        <v>0.56347861312691505</v>
      </c>
      <c r="H29" s="257">
        <f t="shared" si="5"/>
        <v>128223850</v>
      </c>
      <c r="I29" s="286">
        <f t="shared" si="6"/>
        <v>275.85287978360287</v>
      </c>
      <c r="J29" s="257">
        <v>89197942</v>
      </c>
      <c r="K29" s="286">
        <f t="shared" si="8"/>
        <v>1.2575450476799626</v>
      </c>
      <c r="L29" s="286">
        <f t="shared" si="2"/>
        <v>0.27183720476640355</v>
      </c>
      <c r="M29" s="257">
        <v>63974600</v>
      </c>
      <c r="N29" s="286">
        <f t="shared" si="9"/>
        <v>0.87681291360425739</v>
      </c>
      <c r="O29" s="286">
        <f t="shared" si="3"/>
        <v>0.18476418772563177</v>
      </c>
    </row>
    <row r="30" spans="1:15">
      <c r="A30" s="332" t="s">
        <v>133</v>
      </c>
      <c r="B30" s="257">
        <f>B31</f>
        <v>556200</v>
      </c>
      <c r="C30" s="79">
        <f t="shared" si="7"/>
        <v>8.5709556710297525E-3</v>
      </c>
      <c r="D30" s="79">
        <f t="shared" si="0"/>
        <v>1.9612821326562995E-3</v>
      </c>
      <c r="E30" s="257">
        <v>28800</v>
      </c>
      <c r="F30" s="286">
        <f t="shared" si="4"/>
        <v>4.2198861880782588E-4</v>
      </c>
      <c r="G30" s="286">
        <f t="shared" si="1"/>
        <v>9.2888243831640069E-5</v>
      </c>
      <c r="H30" s="257">
        <f t="shared" si="5"/>
        <v>-527400</v>
      </c>
      <c r="I30" s="286">
        <f t="shared" si="6"/>
        <v>-94.822006472491907</v>
      </c>
      <c r="J30" s="257">
        <v>28800</v>
      </c>
      <c r="K30" s="286">
        <f t="shared" si="8"/>
        <v>4.0603288104094286E-4</v>
      </c>
      <c r="L30" s="286">
        <f t="shared" si="2"/>
        <v>8.7770091122420991E-5</v>
      </c>
      <c r="M30" s="257">
        <v>28800</v>
      </c>
      <c r="N30" s="286">
        <f t="shared" si="9"/>
        <v>3.9472246660084799E-4</v>
      </c>
      <c r="O30" s="286">
        <f t="shared" si="3"/>
        <v>8.3176895306859213E-5</v>
      </c>
    </row>
    <row r="31" spans="1:15" ht="26.25">
      <c r="A31" s="333" t="s">
        <v>134</v>
      </c>
      <c r="B31" s="335">
        <v>556200</v>
      </c>
      <c r="C31" s="79">
        <f t="shared" si="7"/>
        <v>8.5709556710297525E-3</v>
      </c>
      <c r="D31" s="79">
        <f t="shared" si="0"/>
        <v>1.9612821326562995E-3</v>
      </c>
      <c r="E31" s="335">
        <v>28800</v>
      </c>
      <c r="F31" s="286">
        <f t="shared" si="4"/>
        <v>4.2198861880782588E-4</v>
      </c>
      <c r="G31" s="286">
        <f t="shared" si="1"/>
        <v>9.2888243831640069E-5</v>
      </c>
      <c r="H31" s="257">
        <f t="shared" si="5"/>
        <v>-527400</v>
      </c>
      <c r="I31" s="286">
        <f t="shared" si="6"/>
        <v>-94.822006472491907</v>
      </c>
      <c r="J31" s="337">
        <v>28800</v>
      </c>
      <c r="K31" s="286">
        <f t="shared" si="8"/>
        <v>4.0603288104094286E-4</v>
      </c>
      <c r="L31" s="286">
        <f t="shared" si="2"/>
        <v>8.7770091122420991E-5</v>
      </c>
      <c r="M31" s="331">
        <v>28800</v>
      </c>
      <c r="N31" s="286">
        <f t="shared" si="9"/>
        <v>3.9472246660084799E-4</v>
      </c>
      <c r="O31" s="286">
        <f t="shared" si="3"/>
        <v>8.3176895306859213E-5</v>
      </c>
    </row>
    <row r="32" spans="1:15" ht="64.5">
      <c r="A32" s="329" t="s">
        <v>152</v>
      </c>
      <c r="B32" s="257">
        <f>B34+B35+B33</f>
        <v>45647648</v>
      </c>
      <c r="C32" s="79">
        <f t="shared" si="7"/>
        <v>0.70342317061267512</v>
      </c>
      <c r="D32" s="79">
        <f t="shared" si="0"/>
        <v>0.16096353185937443</v>
      </c>
      <c r="E32" s="257">
        <v>156166656</v>
      </c>
      <c r="F32" s="286">
        <f t="shared" si="4"/>
        <v>2.288213592683225</v>
      </c>
      <c r="G32" s="286">
        <f t="shared" si="1"/>
        <v>0.50368216739235605</v>
      </c>
      <c r="H32" s="257">
        <f t="shared" si="5"/>
        <v>110519008</v>
      </c>
      <c r="I32" s="286">
        <f t="shared" si="6"/>
        <v>242.11325849691099</v>
      </c>
      <c r="J32" s="257">
        <v>72262198</v>
      </c>
      <c r="K32" s="286">
        <f t="shared" si="8"/>
        <v>1.0187787654267728</v>
      </c>
      <c r="L32" s="286">
        <f t="shared" si="2"/>
        <v>0.2202242952488343</v>
      </c>
      <c r="M32" s="257">
        <v>47166464</v>
      </c>
      <c r="N32" s="286">
        <f t="shared" si="9"/>
        <v>0.64644663232361455</v>
      </c>
      <c r="O32" s="286">
        <f t="shared" si="3"/>
        <v>0.13622083465703974</v>
      </c>
    </row>
    <row r="33" spans="1:15" ht="26.25">
      <c r="A33" s="330" t="s">
        <v>74</v>
      </c>
      <c r="B33" s="339">
        <v>18935851</v>
      </c>
      <c r="C33" s="79">
        <f t="shared" si="7"/>
        <v>0.29179852483679325</v>
      </c>
      <c r="D33" s="79">
        <f t="shared" si="0"/>
        <v>6.6771927783067106E-2</v>
      </c>
      <c r="E33" s="339"/>
      <c r="F33" s="286">
        <f t="shared" si="4"/>
        <v>0</v>
      </c>
      <c r="G33" s="286">
        <f t="shared" si="1"/>
        <v>0</v>
      </c>
      <c r="H33" s="339">
        <f t="shared" si="5"/>
        <v>-18935851</v>
      </c>
      <c r="I33" s="286">
        <f t="shared" si="6"/>
        <v>-100</v>
      </c>
      <c r="J33" s="257">
        <v>72262198</v>
      </c>
      <c r="K33" s="286">
        <f t="shared" si="8"/>
        <v>1.0187787654267728</v>
      </c>
      <c r="L33" s="286">
        <f t="shared" si="2"/>
        <v>0.2202242952488343</v>
      </c>
      <c r="M33" s="257">
        <v>47166464</v>
      </c>
      <c r="N33" s="286">
        <f t="shared" si="9"/>
        <v>0.64644663232361455</v>
      </c>
      <c r="O33" s="286">
        <f t="shared" si="3"/>
        <v>0.13622083465703974</v>
      </c>
    </row>
    <row r="34" spans="1:15" ht="64.5">
      <c r="A34" s="330" t="s">
        <v>67</v>
      </c>
      <c r="B34" s="335">
        <v>26005129</v>
      </c>
      <c r="C34" s="79">
        <f t="shared" si="7"/>
        <v>0.40073500157930647</v>
      </c>
      <c r="D34" s="79">
        <f t="shared" si="0"/>
        <v>9.169973905991044E-2</v>
      </c>
      <c r="E34" s="335">
        <v>114836824</v>
      </c>
      <c r="F34" s="286">
        <f t="shared" si="4"/>
        <v>1.682633081529076</v>
      </c>
      <c r="G34" s="286">
        <f t="shared" si="1"/>
        <v>0.37038162876955333</v>
      </c>
      <c r="H34" s="335">
        <f t="shared" si="5"/>
        <v>88831695</v>
      </c>
      <c r="I34" s="286">
        <f t="shared" si="6"/>
        <v>341.59297960029346</v>
      </c>
      <c r="J34" s="335">
        <v>51360172</v>
      </c>
      <c r="K34" s="286">
        <f t="shared" si="8"/>
        <v>0.72409439610827664</v>
      </c>
      <c r="L34" s="286">
        <f t="shared" si="2"/>
        <v>0.15652385335080607</v>
      </c>
      <c r="M34" s="335">
        <v>34021206</v>
      </c>
      <c r="N34" s="286">
        <f t="shared" si="9"/>
        <v>0.46628244267554064</v>
      </c>
      <c r="O34" s="286">
        <f t="shared" si="3"/>
        <v>9.8256190613718403E-2</v>
      </c>
    </row>
    <row r="35" spans="1:15" ht="90">
      <c r="A35" s="330" t="s">
        <v>153</v>
      </c>
      <c r="B35" s="335">
        <v>706668</v>
      </c>
      <c r="C35" s="79">
        <f t="shared" si="7"/>
        <v>1.0889644196575426E-2</v>
      </c>
      <c r="D35" s="79">
        <f t="shared" si="0"/>
        <v>2.491865016396911E-3</v>
      </c>
      <c r="E35" s="335">
        <v>41329832</v>
      </c>
      <c r="F35" s="286">
        <f t="shared" si="4"/>
        <v>0.60558051115414868</v>
      </c>
      <c r="G35" s="286">
        <f t="shared" si="1"/>
        <v>0.13330053862280275</v>
      </c>
      <c r="H35" s="335">
        <f t="shared" si="5"/>
        <v>40623164</v>
      </c>
      <c r="I35" s="286">
        <f t="shared" si="6"/>
        <v>5748.5500970752892</v>
      </c>
      <c r="J35" s="335">
        <v>20902026</v>
      </c>
      <c r="K35" s="286">
        <f t="shared" si="8"/>
        <v>0.29468436931849634</v>
      </c>
      <c r="L35" s="286">
        <f t="shared" si="2"/>
        <v>6.3700441898028232E-2</v>
      </c>
      <c r="M35" s="335">
        <v>13145258</v>
      </c>
      <c r="N35" s="286">
        <f t="shared" si="9"/>
        <v>0.18016418964807396</v>
      </c>
      <c r="O35" s="286">
        <f t="shared" si="3"/>
        <v>3.7964644043321297E-2</v>
      </c>
    </row>
    <row r="36" spans="1:15" ht="26.25">
      <c r="A36" s="211" t="s">
        <v>135</v>
      </c>
      <c r="B36" s="257">
        <f>B37+B38</f>
        <v>278846</v>
      </c>
      <c r="C36" s="79">
        <f t="shared" si="7"/>
        <v>4.2969735797266486E-3</v>
      </c>
      <c r="D36" s="79">
        <f t="shared" si="0"/>
        <v>9.8327162452836844E-4</v>
      </c>
      <c r="E36" s="257">
        <v>18511088</v>
      </c>
      <c r="F36" s="286">
        <f t="shared" si="4"/>
        <v>0.27123154367187918</v>
      </c>
      <c r="G36" s="286">
        <f t="shared" si="1"/>
        <v>5.9703557490727303E-2</v>
      </c>
      <c r="H36" s="257">
        <f t="shared" si="5"/>
        <v>18232242</v>
      </c>
      <c r="I36" s="286">
        <f t="shared" si="6"/>
        <v>6538.4628074277562</v>
      </c>
      <c r="J36" s="257">
        <v>16906944</v>
      </c>
      <c r="K36" s="286">
        <f t="shared" si="8"/>
        <v>0.23836024937214872</v>
      </c>
      <c r="L36" s="286">
        <f t="shared" si="2"/>
        <v>5.1525139426446827E-2</v>
      </c>
      <c r="M36" s="257">
        <v>16779336</v>
      </c>
      <c r="N36" s="286">
        <f t="shared" si="9"/>
        <v>0.22997155881404191</v>
      </c>
      <c r="O36" s="286">
        <f t="shared" si="3"/>
        <v>4.8460176173285192E-2</v>
      </c>
    </row>
    <row r="37" spans="1:15" ht="26.25">
      <c r="A37" s="330" t="s">
        <v>154</v>
      </c>
      <c r="B37" s="257">
        <v>270000</v>
      </c>
      <c r="C37" s="79">
        <f t="shared" si="7"/>
        <v>4.1606580927328893E-3</v>
      </c>
      <c r="D37" s="79">
        <f t="shared" si="0"/>
        <v>9.5207870517296101E-4</v>
      </c>
      <c r="E37" s="257">
        <v>18185851</v>
      </c>
      <c r="F37" s="286">
        <f t="shared" ref="F37" si="10">E37/$E$5*100</f>
        <v>0.26646604671301799</v>
      </c>
      <c r="G37" s="286">
        <f t="shared" ref="G37" si="11">E37/$E$65/1000000*100</f>
        <v>5.8654575068537343E-2</v>
      </c>
      <c r="H37" s="257">
        <f t="shared" si="5"/>
        <v>17915851</v>
      </c>
      <c r="I37" s="286">
        <f t="shared" si="6"/>
        <v>6635.5003703703705</v>
      </c>
      <c r="J37" s="257">
        <v>16485851</v>
      </c>
      <c r="K37" s="286">
        <f t="shared" ref="K37" si="12">J37/$J$5*100</f>
        <v>0.23242352701186489</v>
      </c>
      <c r="L37" s="286">
        <f t="shared" ref="L37" si="13">J37/$J$65/1000000*100</f>
        <v>5.0241827934050527E-2</v>
      </c>
      <c r="M37" s="257">
        <v>16485851</v>
      </c>
      <c r="N37" s="286">
        <f t="shared" ref="N37" si="14">M37/$M$5*100</f>
        <v>0.22594915870604365</v>
      </c>
      <c r="O37" s="286">
        <f t="shared" ref="O37" si="15">M37/$M$65/1000000*100</f>
        <v>4.7612566064981952E-2</v>
      </c>
    </row>
    <row r="38" spans="1:15" ht="51.75">
      <c r="A38" s="212" t="s">
        <v>136</v>
      </c>
      <c r="B38" s="257">
        <v>8846</v>
      </c>
      <c r="C38" s="79">
        <f t="shared" si="7"/>
        <v>1.3631548699375977E-4</v>
      </c>
      <c r="D38" s="79">
        <f t="shared" si="0"/>
        <v>3.1192919355407458E-5</v>
      </c>
      <c r="E38" s="257">
        <v>325237</v>
      </c>
      <c r="F38" s="286">
        <f t="shared" si="4"/>
        <v>4.7654969588611417E-3</v>
      </c>
      <c r="G38" s="286">
        <f t="shared" si="1"/>
        <v>1.0489824221899694E-3</v>
      </c>
      <c r="H38" s="257">
        <f t="shared" si="5"/>
        <v>316391</v>
      </c>
      <c r="I38" s="286">
        <f t="shared" si="6"/>
        <v>3576.6561157585352</v>
      </c>
      <c r="J38" s="257">
        <v>421093</v>
      </c>
      <c r="K38" s="286">
        <f t="shared" si="8"/>
        <v>5.9367223602838108E-3</v>
      </c>
      <c r="L38" s="286">
        <f t="shared" si="2"/>
        <v>1.2833114923963061E-3</v>
      </c>
      <c r="M38" s="257">
        <v>293485</v>
      </c>
      <c r="N38" s="286">
        <f t="shared" si="9"/>
        <v>4.0224001079982603E-3</v>
      </c>
      <c r="O38" s="286">
        <f t="shared" si="3"/>
        <v>8.4761010830324912E-4</v>
      </c>
    </row>
    <row r="39" spans="1:15">
      <c r="A39" s="208"/>
      <c r="B39" s="362"/>
      <c r="C39" s="362"/>
      <c r="D39" s="362"/>
      <c r="E39" s="362"/>
      <c r="F39" s="362"/>
      <c r="G39" s="362"/>
      <c r="H39" s="53"/>
      <c r="I39" s="30"/>
      <c r="J39" s="165"/>
      <c r="K39" s="165"/>
      <c r="L39" s="165"/>
      <c r="M39" s="165"/>
      <c r="N39" s="165"/>
      <c r="O39" s="165"/>
    </row>
    <row r="40" spans="1:15">
      <c r="A40" s="361"/>
      <c r="B40" s="361"/>
      <c r="C40" s="361"/>
      <c r="D40" s="361"/>
      <c r="E40" s="361"/>
      <c r="F40" s="361"/>
      <c r="G40" s="361"/>
      <c r="H40" s="361"/>
      <c r="I40" s="361"/>
      <c r="J40" s="165"/>
      <c r="K40" s="165"/>
      <c r="L40" s="165"/>
      <c r="M40" s="165"/>
      <c r="N40" s="165"/>
      <c r="O40" s="165"/>
    </row>
    <row r="41" spans="1:15">
      <c r="A41" s="361" t="s">
        <v>157</v>
      </c>
      <c r="B41" s="361"/>
      <c r="C41" s="361"/>
      <c r="D41" s="361"/>
      <c r="E41" s="361"/>
      <c r="F41" s="361"/>
      <c r="G41" s="361"/>
      <c r="H41" s="361"/>
      <c r="I41" s="361"/>
      <c r="J41" s="29"/>
      <c r="K41" s="29"/>
      <c r="L41" s="29"/>
      <c r="M41" s="29"/>
      <c r="N41" s="29"/>
      <c r="O41" s="29"/>
    </row>
    <row r="42" spans="1:15">
      <c r="A42" s="215"/>
      <c r="B42" s="93"/>
      <c r="C42" s="93"/>
      <c r="D42" s="93"/>
      <c r="E42" s="340"/>
      <c r="F42" s="92"/>
      <c r="G42" s="92"/>
      <c r="H42" s="53"/>
      <c r="I42" s="30"/>
      <c r="J42" s="93"/>
      <c r="K42" s="92"/>
      <c r="L42" s="92"/>
      <c r="M42" s="93"/>
      <c r="N42" s="92"/>
      <c r="O42" s="92"/>
    </row>
    <row r="43" spans="1:15" ht="63.75">
      <c r="A43" s="202" t="s">
        <v>45</v>
      </c>
      <c r="B43" s="199" t="s">
        <v>140</v>
      </c>
      <c r="C43" s="199" t="s">
        <v>1</v>
      </c>
      <c r="D43" s="199" t="s">
        <v>2</v>
      </c>
      <c r="E43" s="199" t="s">
        <v>158</v>
      </c>
      <c r="F43" s="199" t="s">
        <v>1</v>
      </c>
      <c r="G43" s="199" t="s">
        <v>2</v>
      </c>
      <c r="H43" s="199" t="s">
        <v>141</v>
      </c>
      <c r="I43" s="199" t="s">
        <v>142</v>
      </c>
      <c r="J43" s="199" t="s">
        <v>143</v>
      </c>
      <c r="K43" s="199" t="s">
        <v>1</v>
      </c>
      <c r="L43" s="199" t="s">
        <v>2</v>
      </c>
      <c r="M43" s="199" t="s">
        <v>144</v>
      </c>
      <c r="N43" s="199" t="s">
        <v>1</v>
      </c>
      <c r="O43" s="199" t="s">
        <v>2</v>
      </c>
    </row>
    <row r="44" spans="1:15">
      <c r="A44" s="216" t="s">
        <v>57</v>
      </c>
      <c r="B44" s="341">
        <f>B45+B62</f>
        <v>2651198936</v>
      </c>
      <c r="C44" s="342">
        <f t="shared" ref="C44:C63" si="16">B44/$B$44*100</f>
        <v>100</v>
      </c>
      <c r="D44" s="342">
        <f t="shared" ref="D44:D63" si="17">B44/$B$65/1000000*100</f>
        <v>9.3487038894178216</v>
      </c>
      <c r="E44" s="341">
        <v>2765726756</v>
      </c>
      <c r="F44" s="342">
        <f t="shared" ref="F44:F63" si="18">E44/$E$44*100</f>
        <v>100</v>
      </c>
      <c r="G44" s="342">
        <f t="shared" ref="G44:G63" si="19">E44/$E$65/1000000*100</f>
        <v>8.920260461215932</v>
      </c>
      <c r="H44" s="341">
        <f>E44-B44</f>
        <v>114527820</v>
      </c>
      <c r="I44" s="342">
        <f>E44/B44*100-100</f>
        <v>4.3198501042246846</v>
      </c>
      <c r="J44" s="341">
        <v>3007319773</v>
      </c>
      <c r="K44" s="342">
        <f t="shared" ref="K44:K63" si="20">J44/$J$44*100</f>
        <v>100</v>
      </c>
      <c r="L44" s="342">
        <f t="shared" ref="L44:L63" si="21">J44/$J$65/1000000*100</f>
        <v>9.1650253649468194</v>
      </c>
      <c r="M44" s="341">
        <v>3189054569</v>
      </c>
      <c r="N44" s="342">
        <f t="shared" ref="N44:N63" si="22">M44/$M$44*100</f>
        <v>100</v>
      </c>
      <c r="O44" s="342">
        <f t="shared" ref="O44:O63" si="23">M44/$M$65/1000000*100</f>
        <v>9.2102659032490966</v>
      </c>
    </row>
    <row r="45" spans="1:15">
      <c r="A45" s="217" t="s">
        <v>54</v>
      </c>
      <c r="B45" s="89">
        <f>B46+B49+B50+B53+B55</f>
        <v>2649329857</v>
      </c>
      <c r="C45" s="88">
        <f t="shared" si="16"/>
        <v>99.929500612925722</v>
      </c>
      <c r="D45" s="88">
        <f t="shared" si="17"/>
        <v>9.3421131104763919</v>
      </c>
      <c r="E45" s="89">
        <v>2764610677</v>
      </c>
      <c r="F45" s="88">
        <f t="shared" si="18"/>
        <v>99.959646085876756</v>
      </c>
      <c r="G45" s="88">
        <f t="shared" si="19"/>
        <v>8.9166607869698424</v>
      </c>
      <c r="H45" s="89">
        <f t="shared" ref="H45:H63" si="24">E45-B45</f>
        <v>115280820</v>
      </c>
      <c r="I45" s="88">
        <f t="shared" ref="I45:I63" si="25">E45/B45*100-100</f>
        <v>4.3513200025058154</v>
      </c>
      <c r="J45" s="89">
        <v>3006315294</v>
      </c>
      <c r="K45" s="88">
        <f t="shared" si="20"/>
        <v>99.966598862913798</v>
      </c>
      <c r="L45" s="88">
        <f t="shared" si="21"/>
        <v>9.1619641422606879</v>
      </c>
      <c r="M45" s="89">
        <v>3188116290</v>
      </c>
      <c r="N45" s="88">
        <f t="shared" si="22"/>
        <v>99.970578145350004</v>
      </c>
      <c r="O45" s="88">
        <f t="shared" si="23"/>
        <v>9.2075560722021663</v>
      </c>
    </row>
    <row r="46" spans="1:15">
      <c r="A46" s="210" t="s">
        <v>53</v>
      </c>
      <c r="B46" s="91">
        <f>B47+B48</f>
        <v>19064113</v>
      </c>
      <c r="C46" s="90">
        <f t="shared" si="16"/>
        <v>0.71907516034096652</v>
      </c>
      <c r="D46" s="90">
        <f t="shared" si="17"/>
        <v>6.7224207482633386E-2</v>
      </c>
      <c r="E46" s="91">
        <v>18934713</v>
      </c>
      <c r="F46" s="90">
        <f t="shared" si="18"/>
        <v>0.68461980052522586</v>
      </c>
      <c r="G46" s="90">
        <f t="shared" si="19"/>
        <v>6.1069869375907117E-2</v>
      </c>
      <c r="H46" s="91">
        <f t="shared" si="24"/>
        <v>-129400</v>
      </c>
      <c r="I46" s="90">
        <f t="shared" si="25"/>
        <v>-0.6787622377185869</v>
      </c>
      <c r="J46" s="91">
        <v>18934713</v>
      </c>
      <c r="K46" s="90">
        <f t="shared" si="20"/>
        <v>0.6296208727118956</v>
      </c>
      <c r="L46" s="90">
        <f t="shared" si="21"/>
        <v>5.7704912687044765E-2</v>
      </c>
      <c r="M46" s="91">
        <v>18934713</v>
      </c>
      <c r="N46" s="90">
        <f t="shared" si="22"/>
        <v>0.59374063975134195</v>
      </c>
      <c r="O46" s="90">
        <f t="shared" si="23"/>
        <v>5.4685091696750905E-2</v>
      </c>
    </row>
    <row r="47" spans="1:15">
      <c r="A47" s="211" t="s">
        <v>58</v>
      </c>
      <c r="B47" s="106">
        <v>15286738</v>
      </c>
      <c r="C47" s="90">
        <f t="shared" si="16"/>
        <v>0.57659716864038457</v>
      </c>
      <c r="D47" s="90">
        <f t="shared" si="17"/>
        <v>5.3904361930956664E-2</v>
      </c>
      <c r="E47" s="106">
        <v>15122918</v>
      </c>
      <c r="F47" s="90">
        <f t="shared" si="18"/>
        <v>0.54679725562882031</v>
      </c>
      <c r="G47" s="90">
        <f t="shared" si="19"/>
        <v>4.8775739396871472E-2</v>
      </c>
      <c r="H47" s="106">
        <f t="shared" si="24"/>
        <v>-163820</v>
      </c>
      <c r="I47" s="90">
        <f t="shared" si="25"/>
        <v>-1.0716478558080951</v>
      </c>
      <c r="J47" s="106">
        <v>15122918</v>
      </c>
      <c r="K47" s="90">
        <f t="shared" si="20"/>
        <v>0.50287030118230125</v>
      </c>
      <c r="L47" s="90">
        <f t="shared" si="21"/>
        <v>4.6088190656142378E-2</v>
      </c>
      <c r="M47" s="106">
        <v>15122918</v>
      </c>
      <c r="N47" s="90">
        <f t="shared" si="22"/>
        <v>0.47421320873609668</v>
      </c>
      <c r="O47" s="90">
        <f t="shared" si="23"/>
        <v>4.3676297472924189E-2</v>
      </c>
    </row>
    <row r="48" spans="1:15">
      <c r="A48" s="211" t="s">
        <v>52</v>
      </c>
      <c r="B48" s="106">
        <v>3777375</v>
      </c>
      <c r="C48" s="90">
        <f t="shared" si="16"/>
        <v>0.14247799170058206</v>
      </c>
      <c r="D48" s="90">
        <f t="shared" si="17"/>
        <v>1.3319845551676717E-2</v>
      </c>
      <c r="E48" s="106">
        <v>3811795</v>
      </c>
      <c r="F48" s="90">
        <f t="shared" si="18"/>
        <v>0.13782254489640552</v>
      </c>
      <c r="G48" s="90">
        <f t="shared" si="19"/>
        <v>1.2294129979035638E-2</v>
      </c>
      <c r="H48" s="106">
        <f t="shared" si="24"/>
        <v>34420</v>
      </c>
      <c r="I48" s="90">
        <f t="shared" si="25"/>
        <v>0.91121479863662103</v>
      </c>
      <c r="J48" s="106">
        <v>3811795</v>
      </c>
      <c r="K48" s="90">
        <f t="shared" si="20"/>
        <v>0.12675057152959437</v>
      </c>
      <c r="L48" s="90">
        <f t="shared" si="21"/>
        <v>1.1616722030902386E-2</v>
      </c>
      <c r="M48" s="106">
        <v>3811795</v>
      </c>
      <c r="N48" s="90">
        <f t="shared" si="22"/>
        <v>0.1195274310152452</v>
      </c>
      <c r="O48" s="90">
        <f t="shared" si="23"/>
        <v>1.1008794223826715E-2</v>
      </c>
    </row>
    <row r="49" spans="1:15">
      <c r="A49" s="210" t="s">
        <v>51</v>
      </c>
      <c r="B49" s="106"/>
      <c r="C49" s="90">
        <f t="shared" si="16"/>
        <v>0</v>
      </c>
      <c r="D49" s="90">
        <f t="shared" si="17"/>
        <v>0</v>
      </c>
      <c r="E49" s="106"/>
      <c r="F49" s="90">
        <f t="shared" si="18"/>
        <v>0</v>
      </c>
      <c r="G49" s="90">
        <f t="shared" si="19"/>
        <v>0</v>
      </c>
      <c r="H49" s="106">
        <f t="shared" si="24"/>
        <v>0</v>
      </c>
      <c r="I49" s="347" t="s">
        <v>137</v>
      </c>
      <c r="J49" s="106"/>
      <c r="K49" s="90">
        <f t="shared" si="20"/>
        <v>0</v>
      </c>
      <c r="L49" s="90">
        <f t="shared" si="21"/>
        <v>0</v>
      </c>
      <c r="M49" s="106"/>
      <c r="N49" s="90">
        <f t="shared" si="22"/>
        <v>0</v>
      </c>
      <c r="O49" s="90">
        <f t="shared" si="23"/>
        <v>0</v>
      </c>
    </row>
    <row r="50" spans="1:15">
      <c r="A50" s="210" t="s">
        <v>50</v>
      </c>
      <c r="B50" s="106">
        <f>B51+B52</f>
        <v>2623799207</v>
      </c>
      <c r="C50" s="90">
        <f t="shared" si="16"/>
        <v>98.966515540273278</v>
      </c>
      <c r="D50" s="90">
        <f t="shared" si="17"/>
        <v>9.2520864875348217</v>
      </c>
      <c r="E50" s="106">
        <v>2739387182</v>
      </c>
      <c r="F50" s="90">
        <f t="shared" si="18"/>
        <v>99.047643663899237</v>
      </c>
      <c r="G50" s="90">
        <f t="shared" si="19"/>
        <v>8.8353077955168526</v>
      </c>
      <c r="H50" s="106">
        <f t="shared" si="24"/>
        <v>115587975</v>
      </c>
      <c r="I50" s="90">
        <f t="shared" si="25"/>
        <v>4.4053666413048802</v>
      </c>
      <c r="J50" s="106">
        <v>2981100292</v>
      </c>
      <c r="K50" s="90">
        <f t="shared" si="20"/>
        <v>99.128144561300033</v>
      </c>
      <c r="L50" s="90">
        <f t="shared" si="21"/>
        <v>9.0851195928442987</v>
      </c>
      <c r="M50" s="106">
        <v>3162901288</v>
      </c>
      <c r="N50" s="90">
        <f t="shared" si="22"/>
        <v>99.179904876691992</v>
      </c>
      <c r="O50" s="90">
        <f t="shared" si="23"/>
        <v>9.134732961732853</v>
      </c>
    </row>
    <row r="51" spans="1:15">
      <c r="A51" s="211" t="s">
        <v>49</v>
      </c>
      <c r="B51" s="106">
        <v>1583463</v>
      </c>
      <c r="C51" s="90">
        <f t="shared" si="16"/>
        <v>5.9726298864205642E-2</v>
      </c>
      <c r="D51" s="90">
        <f t="shared" si="17"/>
        <v>5.5836348249233047E-3</v>
      </c>
      <c r="E51" s="106">
        <v>1756106</v>
      </c>
      <c r="F51" s="90">
        <f t="shared" si="18"/>
        <v>6.3495281888938715E-2</v>
      </c>
      <c r="G51" s="90">
        <f t="shared" si="19"/>
        <v>5.6639445250766E-3</v>
      </c>
      <c r="H51" s="106">
        <f t="shared" si="24"/>
        <v>172643</v>
      </c>
      <c r="I51" s="90">
        <f t="shared" si="25"/>
        <v>10.90287553293004</v>
      </c>
      <c r="J51" s="106">
        <v>1805192</v>
      </c>
      <c r="K51" s="90">
        <f t="shared" si="20"/>
        <v>6.00266062893339E-2</v>
      </c>
      <c r="L51" s="90">
        <f t="shared" si="21"/>
        <v>5.5014536921342153E-3</v>
      </c>
      <c r="M51" s="106">
        <v>1849826</v>
      </c>
      <c r="N51" s="90">
        <f t="shared" si="22"/>
        <v>5.8005467136928134E-2</v>
      </c>
      <c r="O51" s="90">
        <f t="shared" si="23"/>
        <v>5.3424577617328514E-3</v>
      </c>
    </row>
    <row r="52" spans="1:15">
      <c r="A52" s="211" t="s">
        <v>48</v>
      </c>
      <c r="B52" s="106">
        <v>2622215744</v>
      </c>
      <c r="C52" s="90">
        <f t="shared" si="16"/>
        <v>98.906789241409072</v>
      </c>
      <c r="D52" s="90">
        <f t="shared" si="17"/>
        <v>9.2465028527098987</v>
      </c>
      <c r="E52" s="106">
        <v>2737631076</v>
      </c>
      <c r="F52" s="90">
        <f t="shared" si="18"/>
        <v>98.984148382010304</v>
      </c>
      <c r="G52" s="90">
        <f t="shared" si="19"/>
        <v>8.8296438509917774</v>
      </c>
      <c r="H52" s="106">
        <f t="shared" si="24"/>
        <v>115415332</v>
      </c>
      <c r="I52" s="90">
        <f t="shared" si="25"/>
        <v>4.4014430263446656</v>
      </c>
      <c r="J52" s="106">
        <v>2979295100</v>
      </c>
      <c r="K52" s="90">
        <f t="shared" si="20"/>
        <v>99.068117955010706</v>
      </c>
      <c r="L52" s="90">
        <f t="shared" si="21"/>
        <v>9.0796181391521653</v>
      </c>
      <c r="M52" s="106">
        <v>3161051462</v>
      </c>
      <c r="N52" s="90">
        <f t="shared" si="22"/>
        <v>99.12189940955507</v>
      </c>
      <c r="O52" s="90">
        <f t="shared" si="23"/>
        <v>9.1293905039711181</v>
      </c>
    </row>
    <row r="53" spans="1:15" ht="26.25">
      <c r="A53" s="210" t="s">
        <v>59</v>
      </c>
      <c r="B53" s="106">
        <f>B54</f>
        <v>20025</v>
      </c>
      <c r="C53" s="90">
        <f t="shared" si="16"/>
        <v>7.5531864953947011E-4</v>
      </c>
      <c r="D53" s="90">
        <f t="shared" si="17"/>
        <v>7.0612503966994595E-5</v>
      </c>
      <c r="E53" s="106">
        <v>17896</v>
      </c>
      <c r="F53" s="90">
        <f t="shared" si="18"/>
        <v>6.4706319816938555E-4</v>
      </c>
      <c r="G53" s="90">
        <f t="shared" si="19"/>
        <v>5.7719722625383008E-5</v>
      </c>
      <c r="H53" s="106">
        <f t="shared" si="24"/>
        <v>-2129</v>
      </c>
      <c r="I53" s="90">
        <f t="shared" si="25"/>
        <v>-10.631710362047443</v>
      </c>
      <c r="J53" s="106">
        <v>17896</v>
      </c>
      <c r="K53" s="90">
        <f t="shared" si="20"/>
        <v>5.9508137979445925E-4</v>
      </c>
      <c r="L53" s="90">
        <f t="shared" si="21"/>
        <v>5.4539359400237707E-5</v>
      </c>
      <c r="M53" s="106">
        <v>17896</v>
      </c>
      <c r="N53" s="90">
        <f t="shared" si="22"/>
        <v>5.6116945046856613E-4</v>
      </c>
      <c r="O53" s="90">
        <f t="shared" si="23"/>
        <v>5.1685198555956674E-5</v>
      </c>
    </row>
    <row r="54" spans="1:15">
      <c r="A54" s="211" t="s">
        <v>61</v>
      </c>
      <c r="B54" s="106">
        <v>20025</v>
      </c>
      <c r="C54" s="90">
        <f t="shared" si="16"/>
        <v>7.5531864953947011E-4</v>
      </c>
      <c r="D54" s="90">
        <f t="shared" si="17"/>
        <v>7.0612503966994595E-5</v>
      </c>
      <c r="E54" s="106">
        <v>17896</v>
      </c>
      <c r="F54" s="90">
        <f t="shared" si="18"/>
        <v>6.4706319816938555E-4</v>
      </c>
      <c r="G54" s="90">
        <f t="shared" si="19"/>
        <v>5.7719722625383008E-5</v>
      </c>
      <c r="H54" s="106">
        <f t="shared" si="24"/>
        <v>-2129</v>
      </c>
      <c r="I54" s="90">
        <f t="shared" si="25"/>
        <v>-10.631710362047443</v>
      </c>
      <c r="J54" s="106">
        <v>17896</v>
      </c>
      <c r="K54" s="90">
        <f t="shared" si="20"/>
        <v>5.9508137979445925E-4</v>
      </c>
      <c r="L54" s="90">
        <f t="shared" si="21"/>
        <v>5.4539359400237707E-5</v>
      </c>
      <c r="M54" s="106">
        <v>17896</v>
      </c>
      <c r="N54" s="90">
        <f t="shared" si="22"/>
        <v>5.6116945046856613E-4</v>
      </c>
      <c r="O54" s="90">
        <f t="shared" si="23"/>
        <v>5.1685198555956674E-5</v>
      </c>
    </row>
    <row r="55" spans="1:15" ht="39">
      <c r="A55" s="343" t="s">
        <v>148</v>
      </c>
      <c r="B55" s="106">
        <f>B56</f>
        <v>6446512</v>
      </c>
      <c r="C55" s="90">
        <f t="shared" si="16"/>
        <v>0.24315459366192205</v>
      </c>
      <c r="D55" s="90">
        <f t="shared" si="17"/>
        <v>2.2731802954970202E-2</v>
      </c>
      <c r="E55" s="106">
        <v>6270886</v>
      </c>
      <c r="F55" s="90">
        <f t="shared" si="18"/>
        <v>0.22673555825411407</v>
      </c>
      <c r="G55" s="90">
        <f t="shared" si="19"/>
        <v>2.0225402354458959E-2</v>
      </c>
      <c r="H55" s="106">
        <f t="shared" si="24"/>
        <v>-175626</v>
      </c>
      <c r="I55" s="90">
        <f t="shared" si="25"/>
        <v>-2.7243569856071019</v>
      </c>
      <c r="J55" s="106">
        <v>6262393</v>
      </c>
      <c r="K55" s="90">
        <f t="shared" si="20"/>
        <v>0.20823834752208109</v>
      </c>
      <c r="L55" s="90">
        <f t="shared" si="21"/>
        <v>1.9085097369944837E-2</v>
      </c>
      <c r="M55" s="106">
        <v>6262393</v>
      </c>
      <c r="N55" s="90">
        <f t="shared" si="22"/>
        <v>0.19637145945620224</v>
      </c>
      <c r="O55" s="90">
        <f t="shared" si="23"/>
        <v>1.808633357400722E-2</v>
      </c>
    </row>
    <row r="56" spans="1:15" ht="64.5">
      <c r="A56" s="332" t="s">
        <v>149</v>
      </c>
      <c r="B56" s="344">
        <f>B57+B58</f>
        <v>6446512</v>
      </c>
      <c r="C56" s="345">
        <f t="shared" si="16"/>
        <v>0.24315459366192205</v>
      </c>
      <c r="D56" s="345">
        <f t="shared" si="17"/>
        <v>2.2731802954970202E-2</v>
      </c>
      <c r="E56" s="344"/>
      <c r="F56" s="345">
        <f t="shared" si="18"/>
        <v>0</v>
      </c>
      <c r="G56" s="345">
        <f t="shared" si="19"/>
        <v>0</v>
      </c>
      <c r="H56" s="344">
        <f t="shared" si="24"/>
        <v>-6446512</v>
      </c>
      <c r="I56" s="345">
        <f t="shared" si="25"/>
        <v>-100</v>
      </c>
      <c r="J56" s="344">
        <v>0</v>
      </c>
      <c r="K56" s="345">
        <f t="shared" si="20"/>
        <v>0</v>
      </c>
      <c r="L56" s="345">
        <f t="shared" si="21"/>
        <v>0</v>
      </c>
      <c r="M56" s="344"/>
      <c r="N56" s="345">
        <f t="shared" si="22"/>
        <v>0</v>
      </c>
      <c r="O56" s="345">
        <f t="shared" si="23"/>
        <v>0</v>
      </c>
    </row>
    <row r="57" spans="1:15" ht="26.25">
      <c r="A57" s="333" t="s">
        <v>63</v>
      </c>
      <c r="B57" s="344">
        <v>6314885</v>
      </c>
      <c r="C57" s="345">
        <f t="shared" si="16"/>
        <v>0.23818978328075188</v>
      </c>
      <c r="D57" s="345">
        <f t="shared" si="17"/>
        <v>2.226765753376353E-2</v>
      </c>
      <c r="E57" s="344"/>
      <c r="F57" s="345">
        <f t="shared" si="18"/>
        <v>0</v>
      </c>
      <c r="G57" s="345">
        <f t="shared" si="19"/>
        <v>0</v>
      </c>
      <c r="H57" s="344">
        <f t="shared" si="24"/>
        <v>-6314885</v>
      </c>
      <c r="I57" s="345">
        <f t="shared" si="25"/>
        <v>-100</v>
      </c>
      <c r="J57" s="344">
        <v>0</v>
      </c>
      <c r="K57" s="345">
        <f t="shared" si="20"/>
        <v>0</v>
      </c>
      <c r="L57" s="345">
        <f t="shared" si="21"/>
        <v>0</v>
      </c>
      <c r="M57" s="344"/>
      <c r="N57" s="345">
        <f t="shared" si="22"/>
        <v>0</v>
      </c>
      <c r="O57" s="345">
        <f t="shared" si="23"/>
        <v>0</v>
      </c>
    </row>
    <row r="58" spans="1:15" ht="77.25">
      <c r="A58" s="333" t="s">
        <v>150</v>
      </c>
      <c r="B58" s="344">
        <v>131627</v>
      </c>
      <c r="C58" s="345">
        <f t="shared" si="16"/>
        <v>4.9648103811701294E-3</v>
      </c>
      <c r="D58" s="345">
        <f t="shared" si="17"/>
        <v>4.6414542120667155E-4</v>
      </c>
      <c r="E58" s="344"/>
      <c r="F58" s="345">
        <f t="shared" si="18"/>
        <v>0</v>
      </c>
      <c r="G58" s="345">
        <f t="shared" si="19"/>
        <v>0</v>
      </c>
      <c r="H58" s="344">
        <f t="shared" si="24"/>
        <v>-131627</v>
      </c>
      <c r="I58" s="345">
        <f t="shared" si="25"/>
        <v>-100</v>
      </c>
      <c r="J58" s="344">
        <v>0</v>
      </c>
      <c r="K58" s="345">
        <f t="shared" si="20"/>
        <v>0</v>
      </c>
      <c r="L58" s="345">
        <f t="shared" si="21"/>
        <v>0</v>
      </c>
      <c r="M58" s="344"/>
      <c r="N58" s="345">
        <f t="shared" si="22"/>
        <v>0</v>
      </c>
      <c r="O58" s="345">
        <f t="shared" si="23"/>
        <v>0</v>
      </c>
    </row>
    <row r="59" spans="1:15" ht="26.25">
      <c r="A59" s="343" t="s">
        <v>65</v>
      </c>
      <c r="B59" s="344"/>
      <c r="C59" s="345"/>
      <c r="D59" s="345"/>
      <c r="E59" s="344">
        <v>6270886</v>
      </c>
      <c r="F59" s="345">
        <f t="shared" si="18"/>
        <v>0.22673555825411407</v>
      </c>
      <c r="G59" s="345">
        <f t="shared" si="19"/>
        <v>2.0225402354458959E-2</v>
      </c>
      <c r="H59" s="344">
        <f t="shared" si="24"/>
        <v>6270886</v>
      </c>
      <c r="I59" s="347" t="s">
        <v>137</v>
      </c>
      <c r="J59" s="344">
        <v>6262393</v>
      </c>
      <c r="K59" s="345">
        <f t="shared" si="20"/>
        <v>0.20823834752208109</v>
      </c>
      <c r="L59" s="345">
        <f t="shared" si="21"/>
        <v>1.9085097369944837E-2</v>
      </c>
      <c r="M59" s="344">
        <v>6262393</v>
      </c>
      <c r="N59" s="345">
        <f t="shared" si="22"/>
        <v>0.19637145945620224</v>
      </c>
      <c r="O59" s="345">
        <f t="shared" si="23"/>
        <v>1.808633357400722E-2</v>
      </c>
    </row>
    <row r="60" spans="1:15" ht="26.25">
      <c r="A60" s="332" t="s">
        <v>66</v>
      </c>
      <c r="B60" s="344"/>
      <c r="C60" s="345"/>
      <c r="D60" s="345"/>
      <c r="E60" s="344">
        <v>6139259</v>
      </c>
      <c r="F60" s="345">
        <f t="shared" si="18"/>
        <v>0.22197633901040367</v>
      </c>
      <c r="G60" s="345">
        <f t="shared" si="19"/>
        <v>1.9800867601999679E-2</v>
      </c>
      <c r="H60" s="344">
        <f t="shared" si="24"/>
        <v>6139259</v>
      </c>
      <c r="I60" s="347" t="s">
        <v>137</v>
      </c>
      <c r="J60" s="344">
        <v>6130766</v>
      </c>
      <c r="K60" s="345">
        <f t="shared" si="20"/>
        <v>0.20386146012946793</v>
      </c>
      <c r="L60" s="345">
        <f t="shared" si="21"/>
        <v>1.8683954530216682E-2</v>
      </c>
      <c r="M60" s="344">
        <v>6130766</v>
      </c>
      <c r="N60" s="345">
        <f t="shared" si="22"/>
        <v>0.19224399794207472</v>
      </c>
      <c r="O60" s="345">
        <f t="shared" si="23"/>
        <v>1.7706183393501804E-2</v>
      </c>
    </row>
    <row r="61" spans="1:15" ht="51.75">
      <c r="A61" s="333" t="s">
        <v>156</v>
      </c>
      <c r="B61" s="344"/>
      <c r="C61" s="345"/>
      <c r="D61" s="345"/>
      <c r="E61" s="344">
        <v>131627</v>
      </c>
      <c r="F61" s="345">
        <f t="shared" si="18"/>
        <v>4.7592192437104219E-3</v>
      </c>
      <c r="G61" s="345">
        <f t="shared" si="19"/>
        <v>4.2453475245928071E-4</v>
      </c>
      <c r="H61" s="344">
        <f t="shared" si="24"/>
        <v>131627</v>
      </c>
      <c r="I61" s="347" t="s">
        <v>137</v>
      </c>
      <c r="J61" s="344">
        <v>131627</v>
      </c>
      <c r="K61" s="345">
        <f t="shared" si="20"/>
        <v>4.3768873926131697E-3</v>
      </c>
      <c r="L61" s="345">
        <f t="shared" si="21"/>
        <v>4.0114283972815653E-4</v>
      </c>
      <c r="M61" s="344">
        <v>131627</v>
      </c>
      <c r="N61" s="345">
        <f t="shared" si="22"/>
        <v>4.1274615141275121E-3</v>
      </c>
      <c r="O61" s="345">
        <f t="shared" si="23"/>
        <v>3.8015018050541519E-4</v>
      </c>
    </row>
    <row r="62" spans="1:15">
      <c r="A62" s="209" t="s">
        <v>47</v>
      </c>
      <c r="B62" s="104">
        <f>B63</f>
        <v>1869079</v>
      </c>
      <c r="C62" s="88">
        <f t="shared" si="16"/>
        <v>7.0499387074286296E-2</v>
      </c>
      <c r="D62" s="88">
        <f t="shared" si="17"/>
        <v>6.5907789414295275E-3</v>
      </c>
      <c r="E62" s="104">
        <v>1116079</v>
      </c>
      <c r="F62" s="88">
        <f t="shared" si="18"/>
        <v>4.0353914123250435E-2</v>
      </c>
      <c r="G62" s="88">
        <f t="shared" si="19"/>
        <v>3.5996742460893405E-3</v>
      </c>
      <c r="H62" s="104">
        <f t="shared" si="24"/>
        <v>-753000</v>
      </c>
      <c r="I62" s="88">
        <f t="shared" si="25"/>
        <v>-40.287221674418262</v>
      </c>
      <c r="J62" s="104">
        <v>1004479</v>
      </c>
      <c r="K62" s="88">
        <f t="shared" si="20"/>
        <v>3.3401137086195722E-2</v>
      </c>
      <c r="L62" s="88">
        <f t="shared" si="21"/>
        <v>3.0612226861304972E-3</v>
      </c>
      <c r="M62" s="104">
        <v>938279</v>
      </c>
      <c r="N62" s="88">
        <f t="shared" si="22"/>
        <v>2.9421854649988588E-2</v>
      </c>
      <c r="O62" s="88">
        <f t="shared" si="23"/>
        <v>2.7098310469314078E-3</v>
      </c>
    </row>
    <row r="63" spans="1:15">
      <c r="A63" s="210" t="s">
        <v>46</v>
      </c>
      <c r="B63" s="106">
        <v>1869079</v>
      </c>
      <c r="C63" s="90">
        <f t="shared" si="16"/>
        <v>7.0499387074286296E-2</v>
      </c>
      <c r="D63" s="90">
        <f t="shared" si="17"/>
        <v>6.5907789414295275E-3</v>
      </c>
      <c r="E63" s="106">
        <v>1116079</v>
      </c>
      <c r="F63" s="90">
        <f t="shared" si="18"/>
        <v>4.0353914123250435E-2</v>
      </c>
      <c r="G63" s="90">
        <f t="shared" si="19"/>
        <v>3.5996742460893405E-3</v>
      </c>
      <c r="H63" s="106">
        <f t="shared" si="24"/>
        <v>-753000</v>
      </c>
      <c r="I63" s="90">
        <f t="shared" si="25"/>
        <v>-40.287221674418262</v>
      </c>
      <c r="J63" s="106">
        <v>1004479</v>
      </c>
      <c r="K63" s="90">
        <f t="shared" si="20"/>
        <v>3.3401137086195722E-2</v>
      </c>
      <c r="L63" s="90">
        <f t="shared" si="21"/>
        <v>3.0612226861304972E-3</v>
      </c>
      <c r="M63" s="106">
        <v>938279</v>
      </c>
      <c r="N63" s="90">
        <f t="shared" si="22"/>
        <v>2.9421854649988588E-2</v>
      </c>
      <c r="O63" s="90">
        <f t="shared" si="23"/>
        <v>2.7098310469314078E-3</v>
      </c>
    </row>
    <row r="64" spans="1:15">
      <c r="B64" s="29"/>
      <c r="C64" s="29"/>
      <c r="D64" s="29"/>
      <c r="F64" s="29"/>
      <c r="G64" s="29"/>
      <c r="J64" s="29"/>
      <c r="K64" s="29"/>
      <c r="L64" s="29"/>
      <c r="M64" s="29"/>
      <c r="N64" s="29"/>
      <c r="O64" s="29"/>
    </row>
    <row r="65" spans="1:15">
      <c r="A65" s="220" t="s">
        <v>121</v>
      </c>
      <c r="B65" s="255">
        <f>[2]pb_spb_adm!B154</f>
        <v>28359</v>
      </c>
      <c r="C65" s="221"/>
      <c r="D65" s="221"/>
      <c r="E65" s="255">
        <f>[2]pb_spb_adm!E154</f>
        <v>31005</v>
      </c>
      <c r="F65" s="222"/>
      <c r="G65" s="222"/>
      <c r="H65" s="222"/>
      <c r="I65" s="222"/>
      <c r="J65" s="255">
        <f>[2]pb_spb_adm!J154</f>
        <v>32813</v>
      </c>
      <c r="K65" s="222"/>
      <c r="L65" s="222"/>
      <c r="M65" s="255">
        <f>[2]pb_spb_adm!M154</f>
        <v>34625</v>
      </c>
      <c r="N65" s="222"/>
      <c r="O65" s="222"/>
    </row>
    <row r="66" spans="1:15">
      <c r="B66" s="73"/>
      <c r="C66" s="73"/>
      <c r="D66" s="73"/>
      <c r="F66" s="73"/>
      <c r="G66" s="73"/>
      <c r="J66" s="73"/>
      <c r="K66" s="73"/>
      <c r="L66" s="73"/>
      <c r="M66" s="73"/>
      <c r="N66" s="73"/>
      <c r="O66" s="73"/>
    </row>
  </sheetData>
  <autoFilter ref="A1:O68"/>
  <mergeCells count="4">
    <mergeCell ref="A41:I41"/>
    <mergeCell ref="A2:I2"/>
    <mergeCell ref="A40:I40"/>
    <mergeCell ref="B39:G39"/>
  </mergeCells>
  <pageMargins left="0.39370078740157483" right="0.19685039370078741" top="0.6692913385826772" bottom="0.43307086614173229" header="0.39370078740157483" footer="0.19685039370078741"/>
  <pageSetup paperSize="9" scale="70" firstPageNumber="939" fitToHeight="2" orientation="landscape" useFirstPageNumber="1" r:id="rId1"/>
  <headerFooter alignWithMargins="0">
    <oddHeader>&amp;C&amp;P</oddHeader>
    <oddFooter>&amp;LFMPask_L_090519_bud2019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kons_funk</vt:lpstr>
      <vt:lpstr>pb_spb_funk</vt:lpstr>
      <vt:lpstr>kons_adm</vt:lpstr>
      <vt:lpstr>pb_spb_adm</vt:lpstr>
      <vt:lpstr>pb_spb_adm (2)</vt:lpstr>
      <vt:lpstr>kons_ekon</vt:lpstr>
      <vt:lpstr>pb_spb_ekon</vt:lpstr>
      <vt:lpstr>'pb_spb_adm (2)'!Print_Titles</vt:lpstr>
    </vt:vector>
  </TitlesOfParts>
  <Manager/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Likuma "Par valsts budžetu 2019.gadam" paskaidrojumi</dc:title>
  <dc:subject>paskaidrojuma raksts</dc:subject>
  <dc:creator>Aija Freiberga</dc:creator>
  <dc:description>67083874, Aija.Freiberga@fm.gov.lv</dc:description>
  <cp:lastModifiedBy>Māra Aļļēna</cp:lastModifiedBy>
  <cp:lastPrinted>2019-04-29T11:46:02Z</cp:lastPrinted>
  <dcterms:created xsi:type="dcterms:W3CDTF">1999-04-16T08:21:07Z</dcterms:created>
  <dcterms:modified xsi:type="dcterms:W3CDTF">2019-05-13T12:31:36Z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FMPask_AD_200913_proj2014.xlsx</vt:lpwstr>
  </property>
</Properties>
</file>